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</sheets>
  <definedNames>
    <definedName name="_xlnm.Print_Area" localSheetId="0">計算欄!$A$1:$T$85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K39" i="22" l="1"/>
  <c r="K9" i="22"/>
  <c r="M2" i="22" l="1"/>
  <c r="B67" i="22" l="1"/>
  <c r="C67" i="22"/>
  <c r="D67" i="22"/>
  <c r="M4" i="22" l="1"/>
  <c r="M5" i="22"/>
  <c r="M6" i="22"/>
  <c r="M7" i="22"/>
  <c r="L41" i="22" l="1"/>
  <c r="L65" i="22"/>
  <c r="K65" i="22"/>
  <c r="J65" i="22"/>
  <c r="I65" i="22"/>
  <c r="H65" i="22"/>
  <c r="G65" i="22"/>
  <c r="F65" i="22"/>
  <c r="E65" i="22"/>
  <c r="D65" i="22"/>
  <c r="C65" i="22"/>
  <c r="B65" i="22"/>
  <c r="L64" i="22"/>
  <c r="K64" i="22"/>
  <c r="J64" i="22"/>
  <c r="I64" i="22"/>
  <c r="H64" i="22"/>
  <c r="G64" i="22"/>
  <c r="F64" i="22"/>
  <c r="E64" i="22"/>
  <c r="D64" i="22"/>
  <c r="C64" i="22"/>
  <c r="B64" i="22"/>
  <c r="L62" i="22"/>
  <c r="K62" i="22"/>
  <c r="J62" i="22"/>
  <c r="I62" i="22"/>
  <c r="H62" i="22"/>
  <c r="G62" i="22"/>
  <c r="F62" i="22"/>
  <c r="E62" i="22"/>
  <c r="D62" i="22"/>
  <c r="C62" i="22"/>
  <c r="B62" i="22"/>
  <c r="L57" i="22"/>
  <c r="K57" i="22"/>
  <c r="K58" i="22" s="1"/>
  <c r="K59" i="22" s="1"/>
  <c r="K68" i="22" s="1"/>
  <c r="J57" i="22"/>
  <c r="J61" i="22" s="1"/>
  <c r="I57" i="22"/>
  <c r="H57" i="22"/>
  <c r="G57" i="22"/>
  <c r="G58" i="22" s="1"/>
  <c r="F57" i="22"/>
  <c r="F61" i="22" s="1"/>
  <c r="E57" i="22"/>
  <c r="D57" i="22"/>
  <c r="C57" i="22"/>
  <c r="C58" i="22" s="1"/>
  <c r="C59" i="22" s="1"/>
  <c r="C63" i="22" s="1"/>
  <c r="B57" i="22"/>
  <c r="B61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E41" i="22" l="1"/>
  <c r="E19" i="22"/>
  <c r="L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K63" i="22"/>
  <c r="G59" i="22"/>
  <c r="G68" i="22" s="1"/>
  <c r="K61" i="22"/>
  <c r="G15" i="22"/>
  <c r="K13" i="22"/>
  <c r="F58" i="22"/>
  <c r="F59" i="22" s="1"/>
  <c r="F68" i="22" s="1"/>
  <c r="J58" i="22"/>
  <c r="J59" i="22" s="1"/>
  <c r="J68" i="22" s="1"/>
  <c r="G61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E15" i="22"/>
  <c r="E13" i="22"/>
  <c r="E22" i="22"/>
  <c r="E24" i="22" s="1"/>
  <c r="I15" i="22"/>
  <c r="I13" i="22"/>
  <c r="I19" i="22"/>
  <c r="I22" i="22" s="1"/>
  <c r="I24" i="22" s="1"/>
  <c r="B13" i="22"/>
  <c r="D58" i="22"/>
  <c r="D59" i="22" s="1"/>
  <c r="H58" i="22"/>
  <c r="H59" i="22" s="1"/>
  <c r="H68" i="22" s="1"/>
  <c r="H61" i="22"/>
  <c r="L58" i="22"/>
  <c r="L59" i="22" s="1"/>
  <c r="L27" i="22" s="1"/>
  <c r="D61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61" i="22"/>
  <c r="E58" i="22"/>
  <c r="E59" i="22" s="1"/>
  <c r="E68" i="22" s="1"/>
  <c r="I61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8" i="22"/>
  <c r="I59" i="22" s="1"/>
  <c r="I68" i="22" s="1"/>
  <c r="L61" i="22"/>
  <c r="G63" i="22" l="1"/>
  <c r="G66" i="22" s="1"/>
  <c r="G69" i="22" s="1"/>
  <c r="G71" i="22" s="1"/>
  <c r="G27" i="22"/>
  <c r="G28" i="22" s="1"/>
  <c r="B27" i="22"/>
  <c r="B29" i="22" s="1"/>
  <c r="K66" i="22"/>
  <c r="K69" i="22" s="1"/>
  <c r="K71" i="22" s="1"/>
  <c r="J63" i="22"/>
  <c r="J66" i="22" s="1"/>
  <c r="J69" i="22" s="1"/>
  <c r="J71" i="22" s="1"/>
  <c r="J27" i="22"/>
  <c r="J29" i="22" s="1"/>
  <c r="F63" i="22"/>
  <c r="F66" i="22" s="1"/>
  <c r="F69" i="22" s="1"/>
  <c r="F71" i="22" s="1"/>
  <c r="F27" i="22"/>
  <c r="F29" i="22" s="1"/>
  <c r="B71" i="22"/>
  <c r="B73" i="22" s="1"/>
  <c r="B76" i="22" s="1"/>
  <c r="H25" i="22"/>
  <c r="H26" i="22"/>
  <c r="J26" i="22"/>
  <c r="J25" i="22"/>
  <c r="E63" i="22"/>
  <c r="E66" i="22" s="1"/>
  <c r="E69" i="22" s="1"/>
  <c r="E71" i="22" s="1"/>
  <c r="E27" i="22"/>
  <c r="E28" i="22" s="1"/>
  <c r="L28" i="22"/>
  <c r="L29" i="22"/>
  <c r="L25" i="22"/>
  <c r="L26" i="22"/>
  <c r="C71" i="22"/>
  <c r="C73" i="22" s="1"/>
  <c r="C76" i="22" s="1"/>
  <c r="F26" i="22"/>
  <c r="F25" i="22"/>
  <c r="H63" i="22"/>
  <c r="H66" i="22" s="1"/>
  <c r="H27" i="22"/>
  <c r="H29" i="22" s="1"/>
  <c r="B26" i="22"/>
  <c r="B25" i="22"/>
  <c r="G25" i="22"/>
  <c r="G26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I63" i="22"/>
  <c r="I66" i="22" s="1"/>
  <c r="I69" i="22" s="1"/>
  <c r="I71" i="22" s="1"/>
  <c r="K28" i="22"/>
  <c r="K25" i="22"/>
  <c r="K29" i="22"/>
  <c r="K26" i="22"/>
  <c r="I25" i="22"/>
  <c r="I26" i="22"/>
  <c r="D34" i="22"/>
  <c r="D35" i="22"/>
  <c r="L63" i="22"/>
  <c r="L66" i="22" s="1"/>
  <c r="L69" i="22" s="1"/>
  <c r="L46" i="22" s="1"/>
  <c r="I27" i="22"/>
  <c r="I28" i="22" s="1"/>
  <c r="I70" i="22" l="1"/>
  <c r="I74" i="22" s="1"/>
  <c r="I67" i="22"/>
  <c r="I40" i="22" s="1"/>
  <c r="I73" i="22"/>
  <c r="I76" i="22" s="1"/>
  <c r="I46" i="22"/>
  <c r="E67" i="22"/>
  <c r="E40" i="22" s="1"/>
  <c r="E46" i="22"/>
  <c r="E73" i="22"/>
  <c r="E76" i="22" s="1"/>
  <c r="K73" i="22"/>
  <c r="K76" i="22" s="1"/>
  <c r="K46" i="22"/>
  <c r="K70" i="22"/>
  <c r="K74" i="22" s="1"/>
  <c r="K67" i="22"/>
  <c r="K40" i="22" s="1"/>
  <c r="F73" i="22"/>
  <c r="F76" i="22" s="1"/>
  <c r="F46" i="22"/>
  <c r="F70" i="22"/>
  <c r="F74" i="22" s="1"/>
  <c r="F67" i="22"/>
  <c r="F40" i="22" s="1"/>
  <c r="J73" i="22"/>
  <c r="J76" i="22" s="1"/>
  <c r="J46" i="22"/>
  <c r="J70" i="22"/>
  <c r="J67" i="22"/>
  <c r="G73" i="22"/>
  <c r="G76" i="22" s="1"/>
  <c r="G46" i="22"/>
  <c r="G70" i="22"/>
  <c r="G74" i="22" s="1"/>
  <c r="G67" i="22"/>
  <c r="G40" i="22" s="1"/>
  <c r="E70" i="22"/>
  <c r="E74" i="22" s="1"/>
  <c r="G29" i="22"/>
  <c r="G31" i="22" s="1"/>
  <c r="B28" i="22"/>
  <c r="B30" i="22" s="1"/>
  <c r="H69" i="22"/>
  <c r="H71" i="22" s="1"/>
  <c r="J28" i="22"/>
  <c r="J30" i="22" s="1"/>
  <c r="F28" i="22"/>
  <c r="F30" i="22" s="1"/>
  <c r="E29" i="22"/>
  <c r="E31" i="22" s="1"/>
  <c r="G30" i="22"/>
  <c r="I29" i="22"/>
  <c r="I31" i="22" s="1"/>
  <c r="C31" i="22"/>
  <c r="L30" i="22"/>
  <c r="D28" i="22"/>
  <c r="D30" i="22" s="1"/>
  <c r="K31" i="22"/>
  <c r="L31" i="22"/>
  <c r="D71" i="22"/>
  <c r="D73" i="22" s="1"/>
  <c r="D76" i="22" s="1"/>
  <c r="D31" i="22"/>
  <c r="D37" i="22" s="1"/>
  <c r="D49" i="22" s="1"/>
  <c r="D53" i="22" s="1"/>
  <c r="H28" i="22"/>
  <c r="H30" i="22" s="1"/>
  <c r="C30" i="22"/>
  <c r="F31" i="22"/>
  <c r="J31" i="22"/>
  <c r="H31" i="22"/>
  <c r="L71" i="22"/>
  <c r="L73" i="22" s="1"/>
  <c r="L76" i="22" s="1"/>
  <c r="I30" i="22"/>
  <c r="K30" i="22"/>
  <c r="E30" i="22"/>
  <c r="B31" i="22"/>
  <c r="J74" i="22" l="1"/>
  <c r="J77" i="22" s="1"/>
  <c r="H70" i="22"/>
  <c r="H74" i="22" s="1"/>
  <c r="H67" i="22"/>
  <c r="H40" i="22" s="1"/>
  <c r="H73" i="22"/>
  <c r="H76" i="22" s="1"/>
  <c r="H46" i="22"/>
  <c r="J40" i="22"/>
  <c r="K77" i="22"/>
  <c r="I77" i="22"/>
  <c r="G32" i="22"/>
  <c r="G45" i="22" s="1"/>
  <c r="G47" i="22" s="1"/>
  <c r="G77" i="22"/>
  <c r="F77" i="22"/>
  <c r="L32" i="22"/>
  <c r="J32" i="22"/>
  <c r="E77" i="22"/>
  <c r="H32" i="22"/>
  <c r="H45" i="22" s="1"/>
  <c r="F32" i="22"/>
  <c r="F45" i="22" s="1"/>
  <c r="F47" i="22" s="1"/>
  <c r="I32" i="22"/>
  <c r="I45" i="22" s="1"/>
  <c r="I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L45" i="22" l="1"/>
  <c r="L47" i="22" s="1"/>
  <c r="L33" i="22"/>
  <c r="D48" i="22"/>
  <c r="D52" i="22" s="1"/>
  <c r="D54" i="22" s="1"/>
  <c r="D80" i="22" s="1"/>
  <c r="D82" i="22" s="1"/>
  <c r="D83" i="22" s="1"/>
  <c r="H47" i="22"/>
  <c r="J33" i="22"/>
  <c r="J35" i="22" s="1"/>
  <c r="J37" i="22" s="1"/>
  <c r="J45" i="22"/>
  <c r="J47" i="22" s="1"/>
  <c r="H77" i="22"/>
  <c r="G33" i="22"/>
  <c r="G35" i="22" s="1"/>
  <c r="G37" i="22" s="1"/>
  <c r="H33" i="22"/>
  <c r="D38" i="22"/>
  <c r="D79" i="22" s="1"/>
  <c r="F33" i="22"/>
  <c r="E86" i="22"/>
  <c r="E88" i="22" s="1"/>
  <c r="E33" i="22"/>
  <c r="K33" i="22"/>
  <c r="B33" i="22"/>
  <c r="I33" i="22"/>
  <c r="G86" i="22"/>
  <c r="G88" i="22" s="1"/>
  <c r="G90" i="22"/>
  <c r="C33" i="22"/>
  <c r="L34" i="22" l="1"/>
  <c r="L36" i="22" s="1"/>
  <c r="L35" i="22"/>
  <c r="L37" i="22" s="1"/>
  <c r="L49" i="22" s="1"/>
  <c r="L53" i="22" s="1"/>
  <c r="J34" i="22"/>
  <c r="J36" i="22" s="1"/>
  <c r="G34" i="22"/>
  <c r="G36" i="22" s="1"/>
  <c r="J90" i="22"/>
  <c r="J86" i="22"/>
  <c r="J88" i="22" s="1"/>
  <c r="C35" i="22"/>
  <c r="C37" i="22" s="1"/>
  <c r="C49" i="22" s="1"/>
  <c r="C53" i="22" s="1"/>
  <c r="C34" i="22"/>
  <c r="C36" i="22" s="1"/>
  <c r="C48" i="22" s="1"/>
  <c r="C52" i="22" s="1"/>
  <c r="I34" i="22"/>
  <c r="I36" i="22" s="1"/>
  <c r="I35" i="22"/>
  <c r="I37" i="22" s="1"/>
  <c r="K35" i="22"/>
  <c r="K37" i="22" s="1"/>
  <c r="K34" i="22"/>
  <c r="K36" i="22" s="1"/>
  <c r="H35" i="22"/>
  <c r="H37" i="22" s="1"/>
  <c r="H34" i="22"/>
  <c r="H36" i="22" s="1"/>
  <c r="I90" i="22"/>
  <c r="I86" i="22"/>
  <c r="I88" i="22" s="1"/>
  <c r="K86" i="22"/>
  <c r="K88" i="22" s="1"/>
  <c r="K90" i="22"/>
  <c r="E90" i="22"/>
  <c r="E89" i="22"/>
  <c r="H90" i="22"/>
  <c r="H86" i="22"/>
  <c r="H88" i="22" s="1"/>
  <c r="B35" i="22"/>
  <c r="B37" i="22" s="1"/>
  <c r="B49" i="22" s="1"/>
  <c r="B53" i="22" s="1"/>
  <c r="B34" i="22"/>
  <c r="B36" i="22" s="1"/>
  <c r="B48" i="22" s="1"/>
  <c r="B52" i="22" s="1"/>
  <c r="F35" i="22"/>
  <c r="F37" i="22" s="1"/>
  <c r="F34" i="22"/>
  <c r="F36" i="22" s="1"/>
  <c r="E34" i="22"/>
  <c r="E36" i="22" s="1"/>
  <c r="E35" i="22"/>
  <c r="E37" i="22" s="1"/>
  <c r="G89" i="22"/>
  <c r="F86" i="22"/>
  <c r="F88" i="22" s="1"/>
  <c r="F90" i="22"/>
  <c r="B54" i="22" l="1"/>
  <c r="B80" i="22" s="1"/>
  <c r="B82" i="22" s="1"/>
  <c r="B83" i="22" s="1"/>
  <c r="L48" i="22"/>
  <c r="L52" i="22" s="1"/>
  <c r="L54" i="22" s="1"/>
  <c r="L80" i="22" s="1"/>
  <c r="L82" i="22" s="1"/>
  <c r="L83" i="22" s="1"/>
  <c r="L38" i="22"/>
  <c r="J38" i="22"/>
  <c r="J42" i="22" s="1"/>
  <c r="C54" i="22"/>
  <c r="J89" i="22"/>
  <c r="J91" i="22" s="1"/>
  <c r="J92" i="22" s="1"/>
  <c r="G38" i="22"/>
  <c r="G42" i="22" s="1"/>
  <c r="E38" i="22"/>
  <c r="E42" i="22" s="1"/>
  <c r="I89" i="22"/>
  <c r="K38" i="22"/>
  <c r="K42" i="22" s="1"/>
  <c r="C38" i="22"/>
  <c r="G91" i="22"/>
  <c r="G92" i="22" s="1"/>
  <c r="H38" i="22"/>
  <c r="H42" i="22" s="1"/>
  <c r="F38" i="22"/>
  <c r="F42" i="22" s="1"/>
  <c r="B38" i="22"/>
  <c r="B79" i="22" s="1"/>
  <c r="E91" i="22"/>
  <c r="E92" i="22" s="1"/>
  <c r="K89" i="22"/>
  <c r="I38" i="22"/>
  <c r="I42" i="22" s="1"/>
  <c r="F89" i="22"/>
  <c r="H89" i="22"/>
  <c r="L79" i="22" l="1"/>
  <c r="L42" i="22"/>
  <c r="L44" i="22" s="1"/>
  <c r="J79" i="22"/>
  <c r="G79" i="22"/>
  <c r="E43" i="22"/>
  <c r="G44" i="22"/>
  <c r="G43" i="22"/>
  <c r="J44" i="22"/>
  <c r="J43" i="22"/>
  <c r="I79" i="22"/>
  <c r="H79" i="22"/>
  <c r="F79" i="22"/>
  <c r="K79" i="22"/>
  <c r="H91" i="22"/>
  <c r="H92" i="22" s="1"/>
  <c r="I91" i="22"/>
  <c r="I92" i="22" s="1"/>
  <c r="F91" i="22"/>
  <c r="F92" i="22" s="1"/>
  <c r="K91" i="22"/>
  <c r="K92" i="22" s="1"/>
  <c r="C80" i="22"/>
  <c r="C82" i="22" s="1"/>
  <c r="C83" i="22" s="1"/>
  <c r="C79" i="22"/>
  <c r="E79" i="22"/>
  <c r="J55" i="22" l="1"/>
  <c r="J49" i="22"/>
  <c r="J53" i="22" s="1"/>
  <c r="J48" i="22"/>
  <c r="J52" i="22" s="1"/>
  <c r="E55" i="22"/>
  <c r="E48" i="22"/>
  <c r="E52" i="22" s="1"/>
  <c r="E49" i="22"/>
  <c r="E53" i="22" s="1"/>
  <c r="G55" i="22"/>
  <c r="G48" i="22"/>
  <c r="G52" i="22" s="1"/>
  <c r="G49" i="22"/>
  <c r="G53" i="22" s="1"/>
  <c r="E44" i="22"/>
  <c r="K44" i="22"/>
  <c r="D25" i="24" s="1"/>
  <c r="D27" i="24" s="1"/>
  <c r="K43" i="22"/>
  <c r="H44" i="22"/>
  <c r="H43" i="22"/>
  <c r="F44" i="22"/>
  <c r="F43" i="22"/>
  <c r="I44" i="22"/>
  <c r="I43" i="22"/>
  <c r="J54" i="22" l="1"/>
  <c r="J80" i="22" s="1"/>
  <c r="J82" i="22" s="1"/>
  <c r="J83" i="22" s="1"/>
  <c r="H55" i="22"/>
  <c r="H49" i="22"/>
  <c r="H53" i="22" s="1"/>
  <c r="H48" i="22"/>
  <c r="H52" i="22" s="1"/>
  <c r="F55" i="22"/>
  <c r="F48" i="22"/>
  <c r="F52" i="22" s="1"/>
  <c r="F49" i="22"/>
  <c r="F53" i="22" s="1"/>
  <c r="K55" i="22"/>
  <c r="K48" i="22"/>
  <c r="K52" i="22" s="1"/>
  <c r="K49" i="22"/>
  <c r="K53" i="22" s="1"/>
  <c r="G54" i="22"/>
  <c r="G80" i="22" s="1"/>
  <c r="G82" i="22" s="1"/>
  <c r="G83" i="22" s="1"/>
  <c r="I55" i="22"/>
  <c r="I48" i="22"/>
  <c r="I52" i="22" s="1"/>
  <c r="I49" i="22"/>
  <c r="I53" i="22" s="1"/>
  <c r="E54" i="22"/>
  <c r="E80" i="22" s="1"/>
  <c r="E82" i="22" s="1"/>
  <c r="E83" i="22" s="1"/>
  <c r="H54" i="22" l="1"/>
  <c r="H80" i="22" s="1"/>
  <c r="H82" i="22" s="1"/>
  <c r="H83" i="22" s="1"/>
  <c r="I54" i="22"/>
  <c r="I80" i="22" s="1"/>
  <c r="I82" i="22" s="1"/>
  <c r="I83" i="22" s="1"/>
  <c r="K54" i="22"/>
  <c r="K80" i="22" s="1"/>
  <c r="K82" i="22" s="1"/>
  <c r="K83" i="22" s="1"/>
  <c r="F54" i="22"/>
  <c r="F80" i="22" s="1"/>
  <c r="F82" i="22" s="1"/>
  <c r="F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<sst xmlns="http://schemas.openxmlformats.org/spreadsheetml/2006/main" count="175" uniqueCount="125">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</sst>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view="pageBreakPreview" zoomScale="85" zoomScaleNormal="100" zoomScaleSheetLayoutView="85" workbookViewId="0">
      <selection activeCell="M8" sqref="M8"/>
    </sheetView>
  </sheetViews>
  <sheetFormatPr defaultRowHeight="15" customHeight="1"/>
  <cols>
    <col min="1" max="1" width="30.5" style="1" customWidth="1"/>
    <col min="2" max="4" width="12.5" style="1" hidden="1" customWidth="1"/>
    <col min="5" max="11" width="12.5" style="1" customWidth="1"/>
    <col min="12" max="12" width="14.25" style="1" customWidth="1"/>
    <col min="13" max="13" width="5.125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M1" s="12"/>
      <c r="N1" s="13"/>
      <c r="O1" s="6"/>
      <c r="AA1" s="1" t="s">
        <v>2</v>
      </c>
    </row>
    <row r="2" spans="1:31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8" t="s">
        <v>3</v>
      </c>
      <c r="L2" s="299"/>
      <c r="M2" s="14">
        <f>入力欄!D12</f>
        <v>0</v>
      </c>
      <c r="N2" s="15" t="s">
        <v>4</v>
      </c>
      <c r="O2" s="6"/>
      <c r="V2" s="300" t="str">
        <f>IF(M2&gt;0,IF(M2=1,"夫婦","多妻?"),"独身")</f>
        <v>独身</v>
      </c>
      <c r="W2" s="300"/>
      <c r="AA2" s="7"/>
      <c r="AB2" s="301" t="s">
        <v>5</v>
      </c>
      <c r="AC2" s="301"/>
      <c r="AD2" s="301" t="s">
        <v>6</v>
      </c>
      <c r="AE2" s="301"/>
    </row>
    <row r="3" spans="1:31" ht="15" customHeight="1" thickBot="1">
      <c r="A3" s="16" t="s">
        <v>44</v>
      </c>
      <c r="B3" s="17">
        <v>25</v>
      </c>
      <c r="C3" s="18" t="s">
        <v>43</v>
      </c>
      <c r="K3" s="302" t="s">
        <v>7</v>
      </c>
      <c r="L3" s="303"/>
      <c r="M3" s="19"/>
      <c r="N3" s="20"/>
      <c r="O3" s="6"/>
      <c r="Q3" s="13" t="s">
        <v>8</v>
      </c>
      <c r="R3" s="13"/>
      <c r="S3" s="13" t="s">
        <v>9</v>
      </c>
      <c r="T3" s="13"/>
      <c r="V3" s="300"/>
      <c r="W3" s="300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304" t="str">
        <f>IF(B3&gt;23,"16歳未満","")</f>
        <v>16歳未満</v>
      </c>
      <c r="L4" s="305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306" t="str">
        <f>IF((M5+M6+M7)&gt;0,"控除対象扶養","")</f>
        <v/>
      </c>
      <c r="W4" s="306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304" t="str">
        <f>IF(B3&gt;23,"16歳以上19歳未満","扶養親族")</f>
        <v>16歳以上19歳未満</v>
      </c>
      <c r="L5" s="305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306"/>
      <c r="W5" s="306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307" t="str">
        <f>IF(B3&gt;23,"19歳以上23歳未満","特定扶養親族")</f>
        <v>19歳以上23歳未満</v>
      </c>
      <c r="L6" s="308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306" t="str">
        <f>IF(M6&gt;0,"うち特定扶養","")</f>
        <v/>
      </c>
      <c r="W6" s="306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309" t="str">
        <f>IF(B3&gt;23,"23歳以上","")</f>
        <v>23歳以上</v>
      </c>
      <c r="L7" s="310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306"/>
      <c r="W7" s="306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/>
      <c r="F9" s="46"/>
      <c r="G9" s="46"/>
      <c r="H9" s="46"/>
      <c r="I9" s="46"/>
      <c r="J9" s="46"/>
      <c r="K9" s="47">
        <f>入力欄!D7</f>
        <v>0</v>
      </c>
      <c r="L9" s="221">
        <v>300000000</v>
      </c>
      <c r="M9" s="48"/>
      <c r="N9" s="48"/>
      <c r="O9" s="48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49" t="s">
        <v>12</v>
      </c>
      <c r="B10" s="50">
        <f t="shared" ref="B10:L10" si="0">B9*VLOOKUP(B9,$Q$6:$R$11,2)+VLOOKUP(B9,$Q$14:$R$19,2)</f>
        <v>1900000</v>
      </c>
      <c r="C10" s="51">
        <f t="shared" si="0"/>
        <v>1900000</v>
      </c>
      <c r="D10" s="6">
        <f t="shared" si="0"/>
        <v>650000</v>
      </c>
      <c r="E10" s="52">
        <f>E9*VLOOKUP(E9,$Q$6:$R$12,2)+VLOOKUP(E9,$Q$14:$R$20,2)</f>
        <v>650000</v>
      </c>
      <c r="F10" s="6">
        <f t="shared" ref="F10:K10" si="1">F9*VLOOKUP(F9,$Q$6:$R$12,2)+VLOOKUP(F9,$Q$14:$R$20,2)</f>
        <v>650000</v>
      </c>
      <c r="G10" s="6">
        <f t="shared" si="1"/>
        <v>650000</v>
      </c>
      <c r="H10" s="6">
        <f t="shared" si="1"/>
        <v>650000</v>
      </c>
      <c r="I10" s="6">
        <f t="shared" si="1"/>
        <v>650000</v>
      </c>
      <c r="J10" s="6">
        <f>J9*VLOOKUP(J9,$Q$6:$R$12,2)+VLOOKUP(J9,$Q$14:$R$20,2)</f>
        <v>650000</v>
      </c>
      <c r="K10" s="6">
        <f t="shared" si="1"/>
        <v>650000</v>
      </c>
      <c r="L10" s="222">
        <f t="shared" si="0"/>
        <v>16700000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49" t="s">
        <v>19</v>
      </c>
      <c r="B11" s="50">
        <f t="shared" ref="B11:L11" si="2">B9-B10</f>
        <v>5100000</v>
      </c>
      <c r="C11" s="51">
        <f>C9-C10</f>
        <v>5100000</v>
      </c>
      <c r="D11" s="53">
        <f>D9-D10</f>
        <v>-650000</v>
      </c>
      <c r="E11" s="54">
        <f t="shared" ref="E11:I11" si="3">E9-E10</f>
        <v>-650000</v>
      </c>
      <c r="F11" s="53">
        <f t="shared" si="3"/>
        <v>-650000</v>
      </c>
      <c r="G11" s="53">
        <f t="shared" si="3"/>
        <v>-650000</v>
      </c>
      <c r="H11" s="53">
        <f t="shared" si="3"/>
        <v>-650000</v>
      </c>
      <c r="I11" s="53">
        <f t="shared" si="3"/>
        <v>-650000</v>
      </c>
      <c r="J11" s="53">
        <f t="shared" si="2"/>
        <v>-650000</v>
      </c>
      <c r="K11" s="55">
        <f t="shared" si="2"/>
        <v>-650000</v>
      </c>
      <c r="L11" s="223">
        <f t="shared" si="2"/>
        <v>283300000</v>
      </c>
      <c r="M11" s="6"/>
      <c r="N11" s="6"/>
      <c r="O11" s="6"/>
      <c r="Q11" s="56">
        <v>10000001</v>
      </c>
      <c r="R11" s="57">
        <v>0.05</v>
      </c>
      <c r="S11" s="56">
        <v>10000001</v>
      </c>
      <c r="T11" s="57">
        <v>0.05</v>
      </c>
    </row>
    <row r="12" spans="1:31" ht="15" customHeight="1">
      <c r="A12" s="58" t="s">
        <v>45</v>
      </c>
      <c r="B12" s="50">
        <f t="shared" ref="B12:L12" si="4">IF(($M$2+$M$4+$M$5+$M$6+$M$7)&gt;=1,350000*($M$2+$M$4+$M$5+$M$6+$M$7+1)+320000,350000)</f>
        <v>350000</v>
      </c>
      <c r="C12" s="51">
        <f t="shared" si="4"/>
        <v>350000</v>
      </c>
      <c r="D12" s="59">
        <f t="shared" si="4"/>
        <v>350000</v>
      </c>
      <c r="E12" s="60">
        <f t="shared" si="4"/>
        <v>350000</v>
      </c>
      <c r="F12" s="59">
        <f t="shared" si="4"/>
        <v>350000</v>
      </c>
      <c r="G12" s="59">
        <f t="shared" si="4"/>
        <v>350000</v>
      </c>
      <c r="H12" s="59">
        <f t="shared" si="4"/>
        <v>350000</v>
      </c>
      <c r="I12" s="59">
        <f t="shared" si="4"/>
        <v>350000</v>
      </c>
      <c r="J12" s="59">
        <f t="shared" si="4"/>
        <v>350000</v>
      </c>
      <c r="K12" s="61">
        <f t="shared" si="4"/>
        <v>350000</v>
      </c>
      <c r="L12" s="224">
        <f t="shared" si="4"/>
        <v>350000</v>
      </c>
      <c r="M12" s="6"/>
      <c r="N12" s="6"/>
      <c r="O12" s="6"/>
      <c r="Q12" s="62">
        <v>15000001</v>
      </c>
      <c r="R12" s="63">
        <v>0</v>
      </c>
      <c r="S12" s="62">
        <v>15000001</v>
      </c>
      <c r="T12" s="63">
        <v>0</v>
      </c>
    </row>
    <row r="13" spans="1:31" ht="15" customHeight="1">
      <c r="A13" s="58" t="s">
        <v>46</v>
      </c>
      <c r="B13" s="64" t="str">
        <f t="shared" ref="B13:L13" si="5">IF(B11&gt;B12,"所得割課税","所得割非課税")</f>
        <v>所得割課税</v>
      </c>
      <c r="C13" s="65" t="str">
        <f t="shared" si="5"/>
        <v>所得割課税</v>
      </c>
      <c r="D13" s="66" t="str">
        <f t="shared" si="5"/>
        <v>所得割非課税</v>
      </c>
      <c r="E13" s="67" t="str">
        <f t="shared" si="5"/>
        <v>所得割非課税</v>
      </c>
      <c r="F13" s="66" t="str">
        <f t="shared" si="5"/>
        <v>所得割非課税</v>
      </c>
      <c r="G13" s="66" t="str">
        <f t="shared" si="5"/>
        <v>所得割非課税</v>
      </c>
      <c r="H13" s="66" t="str">
        <f t="shared" si="5"/>
        <v>所得割非課税</v>
      </c>
      <c r="I13" s="66" t="str">
        <f t="shared" si="5"/>
        <v>所得割非課税</v>
      </c>
      <c r="J13" s="66" t="str">
        <f t="shared" si="5"/>
        <v>所得割非課税</v>
      </c>
      <c r="K13" s="68" t="str">
        <f t="shared" si="5"/>
        <v>所得割非課税</v>
      </c>
      <c r="L13" s="225" t="str">
        <f t="shared" si="5"/>
        <v>所得割課税</v>
      </c>
      <c r="M13" s="6"/>
      <c r="N13" s="6"/>
      <c r="O13" s="6"/>
      <c r="Q13" s="69" t="s">
        <v>23</v>
      </c>
      <c r="R13" s="70"/>
      <c r="S13" s="69" t="s">
        <v>49</v>
      </c>
      <c r="T13" s="70"/>
    </row>
    <row r="14" spans="1:31" ht="15" customHeight="1">
      <c r="A14" s="58" t="s">
        <v>47</v>
      </c>
      <c r="B14" s="50">
        <f t="shared" ref="B14:L14" si="6">IF(($M$2+$M$4+$M$5+$M$6+$M$7)&gt;=1,350000*($M$2+$M$4+$M$5+$M$6+$M$7+1)+210000,350000)</f>
        <v>350000</v>
      </c>
      <c r="C14" s="51">
        <f t="shared" si="6"/>
        <v>350000</v>
      </c>
      <c r="D14" s="59">
        <f t="shared" si="6"/>
        <v>350000</v>
      </c>
      <c r="E14" s="60">
        <f t="shared" si="6"/>
        <v>350000</v>
      </c>
      <c r="F14" s="59">
        <f t="shared" si="6"/>
        <v>350000</v>
      </c>
      <c r="G14" s="59">
        <f t="shared" si="6"/>
        <v>350000</v>
      </c>
      <c r="H14" s="59">
        <f t="shared" si="6"/>
        <v>350000</v>
      </c>
      <c r="I14" s="59">
        <f t="shared" si="6"/>
        <v>350000</v>
      </c>
      <c r="J14" s="59">
        <f t="shared" si="6"/>
        <v>350000</v>
      </c>
      <c r="K14" s="61">
        <f t="shared" si="6"/>
        <v>350000</v>
      </c>
      <c r="L14" s="224">
        <f t="shared" si="6"/>
        <v>350000</v>
      </c>
      <c r="M14" s="6"/>
      <c r="N14" s="6"/>
      <c r="O14" s="6"/>
      <c r="Q14" s="29">
        <v>0</v>
      </c>
      <c r="R14" s="71">
        <v>650000</v>
      </c>
      <c r="S14" s="29">
        <v>0</v>
      </c>
      <c r="T14" s="71">
        <v>650000</v>
      </c>
    </row>
    <row r="15" spans="1:31" ht="15" customHeight="1">
      <c r="A15" s="58" t="s">
        <v>48</v>
      </c>
      <c r="B15" s="64" t="str">
        <f t="shared" ref="B15:L15" si="7">IF(B11&gt;B14,"均等割課税","均等割非課税")</f>
        <v>均等割課税</v>
      </c>
      <c r="C15" s="64" t="str">
        <f t="shared" si="7"/>
        <v>均等割課税</v>
      </c>
      <c r="D15" s="66" t="str">
        <f t="shared" si="7"/>
        <v>均等割非課税</v>
      </c>
      <c r="E15" s="67" t="str">
        <f t="shared" si="7"/>
        <v>均等割非課税</v>
      </c>
      <c r="F15" s="66" t="str">
        <f t="shared" si="7"/>
        <v>均等割非課税</v>
      </c>
      <c r="G15" s="66" t="str">
        <f t="shared" si="7"/>
        <v>均等割非課税</v>
      </c>
      <c r="H15" s="66" t="str">
        <f t="shared" si="7"/>
        <v>均等割非課税</v>
      </c>
      <c r="I15" s="66" t="str">
        <f t="shared" si="7"/>
        <v>均等割非課税</v>
      </c>
      <c r="J15" s="66" t="str">
        <f t="shared" si="7"/>
        <v>均等割非課税</v>
      </c>
      <c r="K15" s="68" t="str">
        <f t="shared" si="7"/>
        <v>均等割非課税</v>
      </c>
      <c r="L15" s="225" t="str">
        <f t="shared" si="7"/>
        <v>均等割課税</v>
      </c>
      <c r="M15" s="6"/>
      <c r="N15" s="6"/>
      <c r="O15" s="6"/>
      <c r="Q15" s="29">
        <v>1625001</v>
      </c>
      <c r="R15" s="71">
        <v>0</v>
      </c>
      <c r="S15" s="29">
        <v>1625001</v>
      </c>
      <c r="T15" s="71">
        <v>0</v>
      </c>
    </row>
    <row r="16" spans="1:31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72"/>
      <c r="L16" s="223"/>
      <c r="M16" s="6"/>
      <c r="N16" s="6"/>
      <c r="O16" s="6"/>
      <c r="Q16" s="29">
        <v>1800001</v>
      </c>
      <c r="R16" s="71">
        <v>180000</v>
      </c>
      <c r="S16" s="29">
        <v>1800001</v>
      </c>
      <c r="T16" s="71">
        <v>180000</v>
      </c>
    </row>
    <row r="17" spans="1:20" ht="15" customHeight="1">
      <c r="A17" s="49" t="s">
        <v>20</v>
      </c>
      <c r="B17" s="50">
        <f>B9*VLOOKUP(B9,$Q$23:$R$25,2)+VLOOKUP(B9,$Q$27:$R$29,2)</f>
        <v>700000</v>
      </c>
      <c r="C17" s="51">
        <f>C9*VLOOKUP(C9,$Q$23:$R$25,2)+VLOOKUP(C9,$Q$27:$R$29,2)</f>
        <v>700000</v>
      </c>
      <c r="D17" s="6">
        <f>D9*VLOOKUP(D9,$Q$23:$R$25,2)+VLOOKUP(D9,$Q$27:$R$29,2)</f>
        <v>0</v>
      </c>
      <c r="E17" s="52">
        <f t="shared" ref="E17:I17" si="8">E9*VLOOKUP(E9,$Q$23:$R$25,2)+VLOOKUP(E9,$Q$27:$R$29,2)</f>
        <v>0</v>
      </c>
      <c r="F17" s="6">
        <f t="shared" si="8"/>
        <v>0</v>
      </c>
      <c r="G17" s="6">
        <f t="shared" si="8"/>
        <v>0</v>
      </c>
      <c r="H17" s="6">
        <f t="shared" si="8"/>
        <v>0</v>
      </c>
      <c r="I17" s="6">
        <f t="shared" si="8"/>
        <v>0</v>
      </c>
      <c r="J17" s="6">
        <f>J9*VLOOKUP(J9,$Q$23:$R$25,2)+VLOOKUP(J9,$Q$27:$R$29,2)</f>
        <v>0</v>
      </c>
      <c r="K17" s="72">
        <f>K9*VLOOKUP(K9,$Q$23:$R$25,2)+VLOOKUP(K9,$Q$27:$R$29,2)</f>
        <v>0</v>
      </c>
      <c r="L17" s="223">
        <f>L9*VLOOKUP(L9,$Q$23:$R$25,2)+VLOOKUP(L9,$Q$27:$R$29,2)</f>
        <v>1140000</v>
      </c>
      <c r="M17" s="6"/>
      <c r="N17" s="6"/>
      <c r="O17" s="6"/>
      <c r="Q17" s="29">
        <v>3600001</v>
      </c>
      <c r="R17" s="71">
        <v>540000</v>
      </c>
      <c r="S17" s="29">
        <v>3600001</v>
      </c>
      <c r="T17" s="71">
        <v>540000</v>
      </c>
    </row>
    <row r="18" spans="1:20" ht="15" customHeight="1">
      <c r="A18" s="49" t="s">
        <v>21</v>
      </c>
      <c r="B18" s="50">
        <f t="shared" ref="B18:L18" si="9">IF($M$2=1,$R$32,0)</f>
        <v>0</v>
      </c>
      <c r="C18" s="51">
        <f t="shared" si="9"/>
        <v>0</v>
      </c>
      <c r="D18" s="6">
        <f t="shared" si="9"/>
        <v>0</v>
      </c>
      <c r="E18" s="52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2">
        <f t="shared" si="9"/>
        <v>0</v>
      </c>
      <c r="L18" s="223">
        <f t="shared" si="9"/>
        <v>0</v>
      </c>
      <c r="M18" s="6"/>
      <c r="N18" s="6"/>
      <c r="O18" s="6"/>
      <c r="Q18" s="29">
        <v>6600001</v>
      </c>
      <c r="R18" s="71">
        <v>1200000</v>
      </c>
      <c r="S18" s="29">
        <v>6600001</v>
      </c>
      <c r="T18" s="71">
        <v>1200000</v>
      </c>
    </row>
    <row r="19" spans="1:20" ht="15" customHeight="1" thickBot="1">
      <c r="A19" s="49" t="s">
        <v>22</v>
      </c>
      <c r="B19" s="50">
        <f t="shared" ref="B19:L19" si="10">IF(B11&lt;10000000,IF($M$2=1,$R$33,0),0)</f>
        <v>0</v>
      </c>
      <c r="C19" s="51">
        <f t="shared" si="10"/>
        <v>0</v>
      </c>
      <c r="D19" s="6">
        <f t="shared" si="10"/>
        <v>0</v>
      </c>
      <c r="E19" s="52">
        <f>IF(E11&lt;10000000,IF($M$2=1,$R$33,0),0)</f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2">
        <f t="shared" si="10"/>
        <v>0</v>
      </c>
      <c r="L19" s="223">
        <f t="shared" si="10"/>
        <v>0</v>
      </c>
      <c r="M19" s="6"/>
      <c r="N19" s="6"/>
      <c r="O19" s="6"/>
      <c r="Q19" s="73">
        <v>10000001</v>
      </c>
      <c r="R19" s="74">
        <v>1700000</v>
      </c>
      <c r="S19" s="73">
        <v>10000001</v>
      </c>
      <c r="T19" s="74">
        <v>1700000</v>
      </c>
    </row>
    <row r="20" spans="1:20" ht="15" customHeight="1" thickBot="1">
      <c r="A20" s="49" t="s">
        <v>24</v>
      </c>
      <c r="B20" s="50">
        <f t="shared" ref="B20:L20" si="11">IF($M$5&gt;0,$M$5*$R$34,0)+IF($M$6&gt;0,$M$6*$R$35)+IF($M$7&gt;0,$M$7*$R$34,0)</f>
        <v>0</v>
      </c>
      <c r="C20" s="51">
        <f t="shared" si="11"/>
        <v>0</v>
      </c>
      <c r="D20" s="6">
        <f t="shared" si="11"/>
        <v>0</v>
      </c>
      <c r="E20" s="52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2">
        <f t="shared" si="11"/>
        <v>0</v>
      </c>
      <c r="L20" s="223">
        <f t="shared" si="11"/>
        <v>0</v>
      </c>
      <c r="M20" s="6"/>
      <c r="N20" s="6"/>
      <c r="O20" s="6"/>
      <c r="Q20" s="62">
        <v>15000001</v>
      </c>
      <c r="R20" s="75">
        <v>2450000</v>
      </c>
      <c r="S20" s="62">
        <v>15000001</v>
      </c>
      <c r="T20" s="75">
        <v>2450000</v>
      </c>
    </row>
    <row r="21" spans="1:20" ht="15" customHeight="1">
      <c r="A21" s="49" t="s">
        <v>25</v>
      </c>
      <c r="B21" s="50">
        <f>$R$31</f>
        <v>330000</v>
      </c>
      <c r="C21" s="51">
        <f>$R$31</f>
        <v>330000</v>
      </c>
      <c r="D21" s="6">
        <f>$R$31</f>
        <v>330000</v>
      </c>
      <c r="E21" s="52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2">
        <f>$R$31</f>
        <v>330000</v>
      </c>
      <c r="L21" s="223">
        <f>$R$31</f>
        <v>330000</v>
      </c>
      <c r="M21" s="6"/>
      <c r="N21" s="6"/>
      <c r="O21" s="6"/>
      <c r="Q21" s="76" t="s">
        <v>29</v>
      </c>
      <c r="R21" s="77"/>
      <c r="S21" s="76" t="s">
        <v>29</v>
      </c>
      <c r="T21" s="77"/>
    </row>
    <row r="22" spans="1:20" ht="15" customHeight="1">
      <c r="A22" s="78" t="s">
        <v>26</v>
      </c>
      <c r="B22" s="50">
        <f t="shared" ref="B22:L22" si="13">SUM(B17:B21)</f>
        <v>1030000</v>
      </c>
      <c r="C22" s="51">
        <f>SUM(C17:C21)</f>
        <v>1030000</v>
      </c>
      <c r="D22" s="79">
        <f>SUM(D17:D21)</f>
        <v>330000</v>
      </c>
      <c r="E22" s="80">
        <f t="shared" ref="E22:I22" si="14">SUM(E17:E21)</f>
        <v>330000</v>
      </c>
      <c r="F22" s="79">
        <f t="shared" si="14"/>
        <v>330000</v>
      </c>
      <c r="G22" s="79">
        <f t="shared" si="14"/>
        <v>330000</v>
      </c>
      <c r="H22" s="79">
        <f t="shared" si="14"/>
        <v>330000</v>
      </c>
      <c r="I22" s="79">
        <f t="shared" si="14"/>
        <v>330000</v>
      </c>
      <c r="J22" s="79">
        <f t="shared" si="13"/>
        <v>330000</v>
      </c>
      <c r="K22" s="81">
        <f t="shared" si="13"/>
        <v>330000</v>
      </c>
      <c r="L22" s="226">
        <f t="shared" si="13"/>
        <v>1470000</v>
      </c>
      <c r="M22" s="6"/>
      <c r="N22" s="6"/>
      <c r="O22" s="6"/>
      <c r="Q22" s="29" t="s">
        <v>55</v>
      </c>
      <c r="R22" s="71"/>
      <c r="S22" s="29" t="s">
        <v>55</v>
      </c>
      <c r="T22" s="71"/>
    </row>
    <row r="23" spans="1:20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72"/>
      <c r="L23" s="223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49" t="s">
        <v>27</v>
      </c>
      <c r="B24" s="50">
        <f>ROUNDDOWN(IF(B11-B22&lt;0,0,B11-B22),-3)</f>
        <v>4070000</v>
      </c>
      <c r="C24" s="51">
        <f t="shared" ref="C24:L24" si="15">ROUNDDOWN(IF(C11-C22&lt;0,0,C11-C22),-3)</f>
        <v>4070000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>ROUNDDOWN(IF(J11-J22&lt;0,0,J11-J22),-3)</f>
        <v>0</v>
      </c>
      <c r="K24" s="55">
        <f t="shared" si="15"/>
        <v>0</v>
      </c>
      <c r="L24" s="223">
        <f t="shared" si="15"/>
        <v>281830000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2" t="s">
        <v>56</v>
      </c>
      <c r="B25" s="50">
        <f t="shared" ref="B25:L25" si="16">ROUNDDOWN(B24*VLOOKUP(B24,$O$38:$P$41,2)-VLOOKUP(B24,$Q$48:$R$51,2),-2)</f>
        <v>244200</v>
      </c>
      <c r="C25" s="50">
        <f t="shared" si="16"/>
        <v>244200</v>
      </c>
      <c r="D25" s="83">
        <f t="shared" si="16"/>
        <v>0</v>
      </c>
      <c r="E25" s="84">
        <f t="shared" si="16"/>
        <v>0</v>
      </c>
      <c r="F25" s="83">
        <f t="shared" si="16"/>
        <v>0</v>
      </c>
      <c r="G25" s="83">
        <f t="shared" si="16"/>
        <v>0</v>
      </c>
      <c r="H25" s="83">
        <f t="shared" si="16"/>
        <v>0</v>
      </c>
      <c r="I25" s="83">
        <f t="shared" si="16"/>
        <v>0</v>
      </c>
      <c r="J25" s="83">
        <f t="shared" si="16"/>
        <v>0</v>
      </c>
      <c r="K25" s="85">
        <f t="shared" si="16"/>
        <v>0</v>
      </c>
      <c r="L25" s="227">
        <f t="shared" si="16"/>
        <v>16909800</v>
      </c>
      <c r="M25" s="53"/>
      <c r="N25" s="53"/>
      <c r="O25" s="6"/>
      <c r="Q25" s="56">
        <v>15000001</v>
      </c>
      <c r="R25" s="57">
        <v>0</v>
      </c>
      <c r="S25" s="56">
        <v>15000001</v>
      </c>
      <c r="T25" s="57">
        <v>0</v>
      </c>
    </row>
    <row r="26" spans="1:20" ht="15" customHeight="1">
      <c r="A26" s="82" t="s">
        <v>57</v>
      </c>
      <c r="B26" s="50">
        <f t="shared" ref="B26:L26" si="17">ROUNDDOWN(B24*VLOOKUP(B24,$Q$38:$R$41,2)-VLOOKUP(B24,$Q$48:$R$51,2),-2)</f>
        <v>162800</v>
      </c>
      <c r="C26" s="50">
        <f t="shared" si="17"/>
        <v>162800</v>
      </c>
      <c r="D26" s="83">
        <f t="shared" si="17"/>
        <v>0</v>
      </c>
      <c r="E26" s="84">
        <f t="shared" si="17"/>
        <v>0</v>
      </c>
      <c r="F26" s="83">
        <f t="shared" si="17"/>
        <v>0</v>
      </c>
      <c r="G26" s="83">
        <f t="shared" si="17"/>
        <v>0</v>
      </c>
      <c r="H26" s="83">
        <f t="shared" si="17"/>
        <v>0</v>
      </c>
      <c r="I26" s="83">
        <f t="shared" si="17"/>
        <v>0</v>
      </c>
      <c r="J26" s="83">
        <f t="shared" si="17"/>
        <v>0</v>
      </c>
      <c r="K26" s="85">
        <f t="shared" si="17"/>
        <v>0</v>
      </c>
      <c r="L26" s="227">
        <f t="shared" si="17"/>
        <v>11273200</v>
      </c>
      <c r="M26" s="53"/>
      <c r="N26" s="53"/>
      <c r="O26" s="6"/>
      <c r="Q26" s="29" t="s">
        <v>49</v>
      </c>
      <c r="R26" s="71"/>
      <c r="S26" s="29" t="s">
        <v>55</v>
      </c>
      <c r="T26" s="71"/>
    </row>
    <row r="27" spans="1:20" ht="15" customHeight="1">
      <c r="A27" s="49" t="s">
        <v>28</v>
      </c>
      <c r="B27" s="86">
        <f t="shared" ref="B27:L27" si="18">-(IF($M$2=1,$R$58,0)+IF(B11&lt;10000000,IF($M$2=1,$R$59,0),0)+IF(($M$5+$M$7)&gt;0,($M$5+$M$7)*$R$60,0)+IF($M$6&gt;0,$M$6*$R$61)+$R$57)+(IF($M$2=1,$T$58,0)+IF(B59&lt;10000000,IF($M$2=1,$T$59,0),0)+IF(($M$5+$M$7)&gt;0,($M$5+$M$7)*$T$60,0)+IF($M$6&gt;0,$M$6*$T$61)+$T$57)</f>
        <v>50000</v>
      </c>
      <c r="C27" s="87">
        <f t="shared" si="18"/>
        <v>50000</v>
      </c>
      <c r="D27" s="88">
        <f t="shared" si="18"/>
        <v>50000</v>
      </c>
      <c r="E27" s="89">
        <f t="shared" si="18"/>
        <v>50000</v>
      </c>
      <c r="F27" s="88">
        <f t="shared" si="18"/>
        <v>50000</v>
      </c>
      <c r="G27" s="88">
        <f t="shared" si="18"/>
        <v>50000</v>
      </c>
      <c r="H27" s="88">
        <f t="shared" si="18"/>
        <v>50000</v>
      </c>
      <c r="I27" s="88">
        <f t="shared" si="18"/>
        <v>50000</v>
      </c>
      <c r="J27" s="88">
        <f t="shared" si="18"/>
        <v>50000</v>
      </c>
      <c r="K27" s="90">
        <f t="shared" si="18"/>
        <v>50000</v>
      </c>
      <c r="L27" s="228">
        <f t="shared" si="18"/>
        <v>50000</v>
      </c>
      <c r="M27" s="53"/>
      <c r="N27" s="53"/>
      <c r="O27" s="53"/>
      <c r="Q27" s="29">
        <v>0</v>
      </c>
      <c r="R27" s="71">
        <v>0</v>
      </c>
      <c r="S27" s="29">
        <v>0</v>
      </c>
      <c r="T27" s="71">
        <v>0</v>
      </c>
    </row>
    <row r="28" spans="1:20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I28" si="19">IF(E24&gt;2000000,IF(((E27-(E24-2000000))*0.03)&lt;=1500,1500,((E27-(E24-2000000))*0.03)),IF(E24&gt;E27,E27*0.03,E24*0.03))</f>
        <v>0</v>
      </c>
      <c r="F28" s="83">
        <f t="shared" si="19"/>
        <v>0</v>
      </c>
      <c r="G28" s="83">
        <f t="shared" si="19"/>
        <v>0</v>
      </c>
      <c r="H28" s="83">
        <f t="shared" si="19"/>
        <v>0</v>
      </c>
      <c r="I28" s="83">
        <f t="shared" si="19"/>
        <v>0</v>
      </c>
      <c r="J28" s="83">
        <f>IF(J24&gt;2000000,IF(((J27-(J24-2000000))*0.03)&lt;=1500,1500,((J27-(J24-2000000))*0.03)),IF(J24&gt;J27,J27*0.03,J24*0.03))</f>
        <v>0</v>
      </c>
      <c r="K28" s="85">
        <f>IF(K24&gt;2000000,IF(((K27-(K24-2000000))*0.03)&lt;=1500,1500,((K27-(K24-2000000))*0.03)),IF(K24&gt;K27,K27*0.03,K24*0.03))</f>
        <v>0</v>
      </c>
      <c r="L28" s="227">
        <f>IF(L24&gt;2000000,IF(((L27-(L24-2000000))*0.03)&lt;=1500,1500,((L27-(L24-2000000))*0.03)),IF(L24&gt;L27,L27*0.03,L24*0.03))</f>
        <v>1500</v>
      </c>
      <c r="M28" s="91"/>
      <c r="N28" s="91"/>
      <c r="O28" s="53"/>
      <c r="Q28" s="29">
        <v>9000001</v>
      </c>
      <c r="R28" s="71">
        <v>540000</v>
      </c>
      <c r="S28" s="29">
        <v>9000001</v>
      </c>
      <c r="T28" s="71">
        <v>540000</v>
      </c>
    </row>
    <row r="29" spans="1:20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I29" si="20">IF(E24&gt;2000000,IF(((E27-(E24-2000000))*0.02)&lt;=1000,1000,((E27-(E24-2000000))*0.02)),IF(E24&gt;E27,E27*0.02,E24*0.02))</f>
        <v>0</v>
      </c>
      <c r="F29" s="83">
        <f t="shared" si="20"/>
        <v>0</v>
      </c>
      <c r="G29" s="83">
        <f t="shared" si="20"/>
        <v>0</v>
      </c>
      <c r="H29" s="83">
        <f t="shared" si="20"/>
        <v>0</v>
      </c>
      <c r="I29" s="83">
        <f t="shared" si="20"/>
        <v>0</v>
      </c>
      <c r="J29" s="83">
        <f>IF(J24&gt;2000000,IF(((J27-(J24-2000000))*0.02)&lt;=1000,1000,((J27-(J24-2000000))*0.02)),IF(J24&gt;J27,J27*0.02,J24*0.02))</f>
        <v>0</v>
      </c>
      <c r="K29" s="85">
        <f>IF(K24&gt;2000000,IF(((K27-(K24-2000000))*0.02)&lt;=1000,1000,((K27-(K24-2000000))*0.02)),IF(K24&gt;K27,K27*0.02,K24*0.02))</f>
        <v>0</v>
      </c>
      <c r="L29" s="227">
        <f>IF(L24&gt;2000000,IF(((L27-(L24-2000000))*0.02)&lt;=1000,1000,((L27-(L24-2000000))*0.02)),IF(L24&gt;L27,L27*0.02,L24*0.02))</f>
        <v>1000</v>
      </c>
      <c r="M29" s="91"/>
      <c r="N29" s="91"/>
      <c r="O29" s="53"/>
      <c r="Q29" s="73">
        <v>15000001</v>
      </c>
      <c r="R29" s="74">
        <v>1140000</v>
      </c>
      <c r="S29" s="73">
        <v>15000001</v>
      </c>
      <c r="T29" s="74">
        <v>1140000</v>
      </c>
    </row>
    <row r="30" spans="1:20" ht="15" customHeight="1">
      <c r="A30" s="82" t="s">
        <v>61</v>
      </c>
      <c r="B30" s="50">
        <f>B25-B28</f>
        <v>242700</v>
      </c>
      <c r="C30" s="50">
        <f t="shared" ref="C30:L31" si="21">C25-C28</f>
        <v>242700</v>
      </c>
      <c r="D30" s="83">
        <f t="shared" si="21"/>
        <v>0</v>
      </c>
      <c r="E30" s="84">
        <f>E25-E28</f>
        <v>0</v>
      </c>
      <c r="F30" s="83">
        <f t="shared" si="21"/>
        <v>0</v>
      </c>
      <c r="G30" s="83">
        <f t="shared" si="21"/>
        <v>0</v>
      </c>
      <c r="H30" s="83">
        <f t="shared" si="21"/>
        <v>0</v>
      </c>
      <c r="I30" s="83">
        <f t="shared" si="21"/>
        <v>0</v>
      </c>
      <c r="J30" s="83">
        <f>J25-J28</f>
        <v>0</v>
      </c>
      <c r="K30" s="85">
        <f t="shared" si="21"/>
        <v>0</v>
      </c>
      <c r="L30" s="227">
        <f t="shared" si="21"/>
        <v>16908300</v>
      </c>
      <c r="M30" s="53"/>
      <c r="N30" s="53"/>
      <c r="O30" s="91"/>
      <c r="Q30" s="92" t="s">
        <v>31</v>
      </c>
      <c r="R30" s="93"/>
      <c r="S30" s="92" t="s">
        <v>31</v>
      </c>
      <c r="T30" s="93"/>
    </row>
    <row r="31" spans="1:20" ht="15" customHeight="1">
      <c r="A31" s="82" t="s">
        <v>63</v>
      </c>
      <c r="B31" s="50">
        <f>B26-B29</f>
        <v>161800</v>
      </c>
      <c r="C31" s="50">
        <f t="shared" si="21"/>
        <v>161800</v>
      </c>
      <c r="D31" s="83">
        <f t="shared" si="21"/>
        <v>0</v>
      </c>
      <c r="E31" s="84">
        <f t="shared" si="21"/>
        <v>0</v>
      </c>
      <c r="F31" s="83">
        <f t="shared" si="21"/>
        <v>0</v>
      </c>
      <c r="G31" s="83">
        <f t="shared" si="21"/>
        <v>0</v>
      </c>
      <c r="H31" s="83">
        <f t="shared" si="21"/>
        <v>0</v>
      </c>
      <c r="I31" s="83">
        <f t="shared" si="21"/>
        <v>0</v>
      </c>
      <c r="J31" s="83">
        <f t="shared" si="21"/>
        <v>0</v>
      </c>
      <c r="K31" s="85">
        <f t="shared" si="21"/>
        <v>0</v>
      </c>
      <c r="L31" s="227">
        <f t="shared" si="21"/>
        <v>11272200</v>
      </c>
      <c r="M31" s="53"/>
      <c r="N31" s="53"/>
      <c r="O31" s="91"/>
      <c r="Q31" s="94" t="s">
        <v>60</v>
      </c>
      <c r="R31" s="95">
        <v>330000</v>
      </c>
      <c r="S31" s="96" t="s">
        <v>60</v>
      </c>
      <c r="T31" s="95">
        <v>380000</v>
      </c>
    </row>
    <row r="32" spans="1:20" ht="15" customHeight="1">
      <c r="A32" s="97" t="s">
        <v>64</v>
      </c>
      <c r="B32" s="50">
        <f>SUM(B30:B31)</f>
        <v>404500</v>
      </c>
      <c r="C32" s="50">
        <f t="shared" ref="C32:L32" si="22">SUM(C30:C31)</f>
        <v>404500</v>
      </c>
      <c r="D32" s="98">
        <f t="shared" si="22"/>
        <v>0</v>
      </c>
      <c r="E32" s="99">
        <f>SUM(E30:E31)</f>
        <v>0</v>
      </c>
      <c r="F32" s="98">
        <f t="shared" si="22"/>
        <v>0</v>
      </c>
      <c r="G32" s="98">
        <f t="shared" si="22"/>
        <v>0</v>
      </c>
      <c r="H32" s="98">
        <f t="shared" si="22"/>
        <v>0</v>
      </c>
      <c r="I32" s="98">
        <f t="shared" si="22"/>
        <v>0</v>
      </c>
      <c r="J32" s="98">
        <f>SUM(J30:J31)</f>
        <v>0</v>
      </c>
      <c r="K32" s="100">
        <f t="shared" si="22"/>
        <v>0</v>
      </c>
      <c r="L32" s="229">
        <f t="shared" si="22"/>
        <v>28180500</v>
      </c>
      <c r="M32" s="53"/>
      <c r="N32" s="53"/>
      <c r="O32" s="53"/>
      <c r="Q32" s="94" t="s">
        <v>62</v>
      </c>
      <c r="R32" s="95">
        <v>330000</v>
      </c>
      <c r="S32" s="96" t="s">
        <v>62</v>
      </c>
      <c r="T32" s="95">
        <v>380000</v>
      </c>
    </row>
    <row r="33" spans="1:24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L33" si="23">IF(C13="所得割非課税","所得割非課税",IF(C12&gt;(C11-C32),"調整あり","調整なし"))</f>
        <v>調整なし</v>
      </c>
      <c r="D33" s="102" t="str">
        <f t="shared" si="23"/>
        <v>所得割非課税</v>
      </c>
      <c r="E33" s="103" t="str">
        <f t="shared" si="23"/>
        <v>所得割非課税</v>
      </c>
      <c r="F33" s="102" t="str">
        <f t="shared" si="23"/>
        <v>所得割非課税</v>
      </c>
      <c r="G33" s="102" t="str">
        <f t="shared" si="23"/>
        <v>所得割非課税</v>
      </c>
      <c r="H33" s="102" t="str">
        <f t="shared" si="23"/>
        <v>所得割非課税</v>
      </c>
      <c r="I33" s="102" t="str">
        <f t="shared" si="23"/>
        <v>所得割非課税</v>
      </c>
      <c r="J33" s="102" t="str">
        <f t="shared" si="23"/>
        <v>所得割非課税</v>
      </c>
      <c r="K33" s="104" t="str">
        <f t="shared" si="23"/>
        <v>所得割非課税</v>
      </c>
      <c r="L33" s="230" t="str">
        <f t="shared" si="23"/>
        <v>調整なし</v>
      </c>
      <c r="M33" s="105" t="s">
        <v>66</v>
      </c>
      <c r="N33" s="53"/>
      <c r="O33" s="53"/>
      <c r="Q33" s="94" t="s">
        <v>34</v>
      </c>
      <c r="R33" s="95">
        <v>0</v>
      </c>
      <c r="S33" s="96" t="s">
        <v>34</v>
      </c>
      <c r="T33" s="95">
        <v>0</v>
      </c>
      <c r="V33" s="6"/>
      <c r="W33" s="6"/>
      <c r="X33" s="6"/>
    </row>
    <row r="34" spans="1:24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L34" si="24">IF(C33="所得割非課税",0,IF(C33="調整なし",0,(C12-(C11-C32)*C30/C32)))</f>
        <v>0</v>
      </c>
      <c r="D34" s="106">
        <f t="shared" si="24"/>
        <v>0</v>
      </c>
      <c r="E34" s="107">
        <f t="shared" si="24"/>
        <v>0</v>
      </c>
      <c r="F34" s="106">
        <f t="shared" si="24"/>
        <v>0</v>
      </c>
      <c r="G34" s="106">
        <f t="shared" si="24"/>
        <v>0</v>
      </c>
      <c r="H34" s="106">
        <f t="shared" si="24"/>
        <v>0</v>
      </c>
      <c r="I34" s="106">
        <f t="shared" si="24"/>
        <v>0</v>
      </c>
      <c r="J34" s="106">
        <f t="shared" si="24"/>
        <v>0</v>
      </c>
      <c r="K34" s="108">
        <f t="shared" si="24"/>
        <v>0</v>
      </c>
      <c r="L34" s="231">
        <f t="shared" si="24"/>
        <v>0</v>
      </c>
      <c r="M34" s="53"/>
      <c r="N34" s="53"/>
      <c r="O34" s="53"/>
      <c r="Q34" s="94" t="s">
        <v>65</v>
      </c>
      <c r="R34" s="95">
        <v>330000</v>
      </c>
      <c r="S34" s="96" t="s">
        <v>65</v>
      </c>
      <c r="T34" s="95">
        <v>380000</v>
      </c>
      <c r="V34" s="10"/>
      <c r="W34" s="109"/>
      <c r="X34" s="6"/>
    </row>
    <row r="35" spans="1:24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L35" si="25">IF(C33="所得割非課税",0,IF(C33="調整なし",0,(C12-(C11-C32)*C31/C32)))</f>
        <v>0</v>
      </c>
      <c r="D35" s="106">
        <f t="shared" si="25"/>
        <v>0</v>
      </c>
      <c r="E35" s="107">
        <f t="shared" si="25"/>
        <v>0</v>
      </c>
      <c r="F35" s="106">
        <f t="shared" si="25"/>
        <v>0</v>
      </c>
      <c r="G35" s="106">
        <f t="shared" si="25"/>
        <v>0</v>
      </c>
      <c r="H35" s="106">
        <f t="shared" si="25"/>
        <v>0</v>
      </c>
      <c r="I35" s="106">
        <f t="shared" si="25"/>
        <v>0</v>
      </c>
      <c r="J35" s="106">
        <f t="shared" si="25"/>
        <v>0</v>
      </c>
      <c r="K35" s="108">
        <f>IF(K33="所得割非課税",0,IF(K33="調整なし",0,(K12-(K11-K32)*K31/K32)))</f>
        <v>0</v>
      </c>
      <c r="L35" s="231">
        <f t="shared" si="25"/>
        <v>0</v>
      </c>
      <c r="M35" s="53"/>
      <c r="N35" s="53"/>
      <c r="O35" s="53"/>
      <c r="Q35" s="94" t="s">
        <v>35</v>
      </c>
      <c r="R35" s="95">
        <v>450000</v>
      </c>
      <c r="S35" s="96" t="s">
        <v>36</v>
      </c>
      <c r="T35" s="95">
        <v>630000</v>
      </c>
      <c r="V35" s="83"/>
      <c r="W35" s="83"/>
      <c r="X35" s="6"/>
    </row>
    <row r="36" spans="1:24" ht="15" customHeight="1">
      <c r="A36" s="49" t="s">
        <v>71</v>
      </c>
      <c r="B36" s="50">
        <f>IF(B30-B34&gt;0,B30-B34,0)</f>
        <v>242700</v>
      </c>
      <c r="C36" s="50">
        <f t="shared" ref="C36:L37" si="26">IF(C30-C34&gt;0,C30-C34,0)</f>
        <v>242700</v>
      </c>
      <c r="D36" s="83">
        <f t="shared" si="26"/>
        <v>0</v>
      </c>
      <c r="E36" s="84">
        <f t="shared" si="26"/>
        <v>0</v>
      </c>
      <c r="F36" s="83">
        <f t="shared" si="26"/>
        <v>0</v>
      </c>
      <c r="G36" s="83">
        <f t="shared" si="26"/>
        <v>0</v>
      </c>
      <c r="H36" s="83">
        <f t="shared" si="26"/>
        <v>0</v>
      </c>
      <c r="I36" s="83">
        <f t="shared" si="26"/>
        <v>0</v>
      </c>
      <c r="J36" s="83">
        <f t="shared" si="26"/>
        <v>0</v>
      </c>
      <c r="K36" s="85">
        <f t="shared" si="26"/>
        <v>0</v>
      </c>
      <c r="L36" s="227">
        <f t="shared" si="26"/>
        <v>16908300</v>
      </c>
      <c r="M36" s="53"/>
      <c r="N36" s="53"/>
      <c r="O36" s="312" t="s">
        <v>53</v>
      </c>
      <c r="P36" s="313"/>
      <c r="Q36" s="314" t="s">
        <v>67</v>
      </c>
      <c r="R36" s="315"/>
      <c r="S36" s="111"/>
      <c r="T36" s="112"/>
      <c r="V36" s="83"/>
      <c r="W36" s="113"/>
      <c r="X36" s="6"/>
    </row>
    <row r="37" spans="1:24" ht="15" customHeight="1">
      <c r="A37" s="49" t="s">
        <v>72</v>
      </c>
      <c r="B37" s="114">
        <f>IF(B31-B35&gt;0,B31-B35,0)</f>
        <v>161800</v>
      </c>
      <c r="C37" s="50">
        <f t="shared" si="26"/>
        <v>161800</v>
      </c>
      <c r="D37" s="83">
        <f t="shared" si="26"/>
        <v>0</v>
      </c>
      <c r="E37" s="84">
        <f t="shared" si="26"/>
        <v>0</v>
      </c>
      <c r="F37" s="83">
        <f t="shared" si="26"/>
        <v>0</v>
      </c>
      <c r="G37" s="83">
        <f t="shared" si="26"/>
        <v>0</v>
      </c>
      <c r="H37" s="83">
        <f t="shared" si="26"/>
        <v>0</v>
      </c>
      <c r="I37" s="83">
        <f t="shared" si="26"/>
        <v>0</v>
      </c>
      <c r="J37" s="83">
        <f t="shared" si="26"/>
        <v>0</v>
      </c>
      <c r="K37" s="85">
        <f t="shared" si="26"/>
        <v>0</v>
      </c>
      <c r="L37" s="227">
        <f t="shared" si="26"/>
        <v>11272200</v>
      </c>
      <c r="M37" s="53"/>
      <c r="N37" s="53"/>
      <c r="O37" s="29" t="s">
        <v>37</v>
      </c>
      <c r="P37" s="71"/>
      <c r="Q37" s="29" t="s">
        <v>37</v>
      </c>
      <c r="R37" s="71"/>
      <c r="S37" s="29" t="s">
        <v>37</v>
      </c>
      <c r="T37" s="71"/>
      <c r="V37" s="83"/>
      <c r="W37" s="113"/>
      <c r="X37" s="6"/>
    </row>
    <row r="38" spans="1:24" ht="15" customHeight="1" thickBot="1">
      <c r="A38" s="115" t="s">
        <v>73</v>
      </c>
      <c r="B38" s="116">
        <f>SUM(B36:B37)</f>
        <v>404500</v>
      </c>
      <c r="C38" s="117">
        <f>SUM(C36:C37)</f>
        <v>404500</v>
      </c>
      <c r="D38" s="118">
        <f t="shared" ref="D38:L38" si="27">SUM(D36:D37)</f>
        <v>0</v>
      </c>
      <c r="E38" s="119">
        <f t="shared" si="27"/>
        <v>0</v>
      </c>
      <c r="F38" s="118">
        <f t="shared" si="27"/>
        <v>0</v>
      </c>
      <c r="G38" s="118">
        <f t="shared" si="27"/>
        <v>0</v>
      </c>
      <c r="H38" s="118">
        <f t="shared" si="27"/>
        <v>0</v>
      </c>
      <c r="I38" s="118">
        <f t="shared" si="27"/>
        <v>0</v>
      </c>
      <c r="J38" s="118">
        <f t="shared" si="27"/>
        <v>0</v>
      </c>
      <c r="K38" s="120">
        <f t="shared" si="27"/>
        <v>0</v>
      </c>
      <c r="L38" s="232">
        <f t="shared" si="27"/>
        <v>28180500</v>
      </c>
      <c r="M38" s="53"/>
      <c r="N38" s="53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293">
        <v>0</v>
      </c>
      <c r="V38" s="83"/>
      <c r="W38" s="113"/>
      <c r="X38" s="6"/>
    </row>
    <row r="39" spans="1:24" ht="15" customHeight="1" thickBot="1">
      <c r="A39" s="121" t="s">
        <v>94</v>
      </c>
      <c r="B39" s="122"/>
      <c r="C39" s="122"/>
      <c r="D39" s="122"/>
      <c r="E39" s="172"/>
      <c r="F39" s="174"/>
      <c r="G39" s="174"/>
      <c r="H39" s="174"/>
      <c r="I39" s="174"/>
      <c r="J39" s="174"/>
      <c r="K39" s="262">
        <f>入力欄!D21</f>
        <v>0</v>
      </c>
      <c r="L39" s="233"/>
      <c r="M39" s="53"/>
      <c r="N39" s="53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293">
        <v>5.1049999999999998E-2</v>
      </c>
      <c r="V39" s="83"/>
      <c r="W39" s="113"/>
      <c r="X39" s="6"/>
    </row>
    <row r="40" spans="1:24" ht="15" customHeight="1" thickTop="1" thickBot="1">
      <c r="A40" s="9" t="s">
        <v>98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K40" si="28">F67</f>
        <v>0</v>
      </c>
      <c r="G40" s="10">
        <f t="shared" si="28"/>
        <v>0</v>
      </c>
      <c r="H40" s="10">
        <f t="shared" si="28"/>
        <v>0</v>
      </c>
      <c r="I40" s="10">
        <f t="shared" si="28"/>
        <v>0</v>
      </c>
      <c r="J40" s="10">
        <f t="shared" si="28"/>
        <v>0</v>
      </c>
      <c r="K40" s="263">
        <f t="shared" si="28"/>
        <v>0</v>
      </c>
      <c r="L40" s="234">
        <f>L67</f>
        <v>0</v>
      </c>
      <c r="M40" s="207">
        <v>0.2</v>
      </c>
      <c r="N40" s="53"/>
      <c r="O40" s="29"/>
      <c r="P40" s="34"/>
      <c r="Q40" s="29"/>
      <c r="R40" s="34"/>
      <c r="S40" s="29">
        <v>1950001</v>
      </c>
      <c r="T40" s="293">
        <v>0.1021</v>
      </c>
      <c r="V40" s="83"/>
      <c r="W40" s="11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0</v>
      </c>
      <c r="F41" s="10">
        <f>IF(F39&lt;=2000,0,IF(F11*30%&gt;F39,(F39-2000)*0.1,(F11*30%-2000)*0.1))</f>
        <v>0</v>
      </c>
      <c r="G41" s="10">
        <f t="shared" si="29"/>
        <v>0</v>
      </c>
      <c r="H41" s="10">
        <f t="shared" si="29"/>
        <v>0</v>
      </c>
      <c r="I41" s="10">
        <f t="shared" si="29"/>
        <v>0</v>
      </c>
      <c r="J41" s="10">
        <f t="shared" si="29"/>
        <v>0</v>
      </c>
      <c r="K41" s="263">
        <f t="shared" si="29"/>
        <v>0</v>
      </c>
      <c r="L41" s="235">
        <f t="shared" ref="L41" si="30">(L39-2000)*0.1</f>
        <v>-200</v>
      </c>
      <c r="M41" s="53"/>
      <c r="N41" s="53"/>
      <c r="O41" s="29"/>
      <c r="P41" s="34"/>
      <c r="Q41" s="29"/>
      <c r="R41" s="34"/>
      <c r="S41" s="29">
        <v>3300001</v>
      </c>
      <c r="T41" s="293">
        <v>0.20419999999999999</v>
      </c>
      <c r="V41" s="83"/>
      <c r="W41" s="113"/>
      <c r="X41" s="6"/>
    </row>
    <row r="42" spans="1:24" ht="15" customHeight="1">
      <c r="A42" s="270" t="s">
        <v>96</v>
      </c>
      <c r="B42" s="10"/>
      <c r="C42" s="10"/>
      <c r="D42" s="10"/>
      <c r="E42" s="219">
        <f>IF(E41=0,0,IF((E39-2000)*(0.9-VLOOKUP(E69,$S$38:$T$45,2))&gt;E38*$M$40,E38*$M$40,(E39-2000)*(0.9-VLOOKUP(E69,$S$38:$T$45,2))))</f>
        <v>0</v>
      </c>
      <c r="F42" s="260">
        <f t="shared" ref="F42:K42" si="31">IF(F41=0,0,IF((F39-2000)*(0.9-VLOOKUP(F69,$S$38:$T$45,2))&gt;F38*$M$40,F38*$M$40,(F39-2000)*(0.9-VLOOKUP(F69,$S$38:$T$45,2))))</f>
        <v>0</v>
      </c>
      <c r="G42" s="260">
        <f t="shared" si="31"/>
        <v>0</v>
      </c>
      <c r="H42" s="260">
        <f t="shared" si="31"/>
        <v>0</v>
      </c>
      <c r="I42" s="260">
        <f t="shared" si="31"/>
        <v>0</v>
      </c>
      <c r="J42" s="260">
        <f t="shared" si="31"/>
        <v>0</v>
      </c>
      <c r="K42" s="265">
        <f t="shared" si="31"/>
        <v>0</v>
      </c>
      <c r="L42" s="235">
        <f t="shared" ref="L42" si="32">IF(L41=0,0,IF((L39-2000)*(0.9-VLOOKUP(L69,$S$38:$T$44,2))&gt;L38*$M$40,L38*$M$40,(L39-2000)*(0.9-VLOOKUP(L69,$S$38:$T$44,2))))</f>
        <v>-983.2</v>
      </c>
      <c r="M42" s="53"/>
      <c r="N42" s="53"/>
      <c r="O42" s="29"/>
      <c r="P42" s="34"/>
      <c r="Q42" s="29"/>
      <c r="R42" s="34"/>
      <c r="S42" s="29">
        <v>6950001</v>
      </c>
      <c r="T42" s="293">
        <v>0.23483000000000001</v>
      </c>
      <c r="V42" s="83"/>
      <c r="W42" s="113"/>
      <c r="X42" s="6"/>
    </row>
    <row r="43" spans="1:24" ht="15" customHeight="1">
      <c r="A43" s="271" t="s">
        <v>99</v>
      </c>
      <c r="B43" s="123"/>
      <c r="C43" s="123"/>
      <c r="D43" s="123"/>
      <c r="E43" s="124">
        <f>SUM(E41:E42)</f>
        <v>0</v>
      </c>
      <c r="F43" s="123">
        <f t="shared" ref="F43:K43" si="33">SUM(F41:F42)</f>
        <v>0</v>
      </c>
      <c r="G43" s="123">
        <f t="shared" si="33"/>
        <v>0</v>
      </c>
      <c r="H43" s="123">
        <f t="shared" si="33"/>
        <v>0</v>
      </c>
      <c r="I43" s="123">
        <f t="shared" si="33"/>
        <v>0</v>
      </c>
      <c r="J43" s="123">
        <f t="shared" si="33"/>
        <v>0</v>
      </c>
      <c r="K43" s="266">
        <f t="shared" si="33"/>
        <v>0</v>
      </c>
      <c r="L43" s="264">
        <f t="shared" ref="L43:L44" si="34">SUM(L39:L41)</f>
        <v>-200</v>
      </c>
      <c r="M43" s="53"/>
      <c r="N43" s="53"/>
      <c r="O43" s="29"/>
      <c r="P43" s="34"/>
      <c r="Q43" s="29"/>
      <c r="R43" s="34"/>
      <c r="S43" s="29">
        <v>9000001</v>
      </c>
      <c r="T43" s="293">
        <v>0.33693000000000001</v>
      </c>
      <c r="V43" s="83"/>
      <c r="W43" s="113"/>
      <c r="X43" s="6"/>
    </row>
    <row r="44" spans="1:24" ht="15" customHeight="1">
      <c r="A44" s="271" t="s">
        <v>97</v>
      </c>
      <c r="B44" s="123"/>
      <c r="C44" s="123"/>
      <c r="D44" s="123"/>
      <c r="E44" s="124">
        <f>SUM(E40:E42)</f>
        <v>0</v>
      </c>
      <c r="F44" s="123">
        <f t="shared" ref="F44:K44" si="35">SUM(F40:F42)</f>
        <v>0</v>
      </c>
      <c r="G44" s="123">
        <f t="shared" si="35"/>
        <v>0</v>
      </c>
      <c r="H44" s="123">
        <f t="shared" si="35"/>
        <v>0</v>
      </c>
      <c r="I44" s="123">
        <f t="shared" si="35"/>
        <v>0</v>
      </c>
      <c r="J44" s="123">
        <f t="shared" si="35"/>
        <v>0</v>
      </c>
      <c r="K44" s="266">
        <f t="shared" si="35"/>
        <v>0</v>
      </c>
      <c r="L44" s="264">
        <f t="shared" si="34"/>
        <v>-1183.2</v>
      </c>
      <c r="M44" s="53"/>
      <c r="N44" s="53"/>
      <c r="O44" s="29"/>
      <c r="P44" s="71"/>
      <c r="Q44" s="29"/>
      <c r="R44" s="71"/>
      <c r="S44" s="29">
        <v>18000001</v>
      </c>
      <c r="T44" s="293">
        <v>0.40839999999999999</v>
      </c>
      <c r="V44" s="6"/>
      <c r="W44" s="6"/>
      <c r="X44" s="6"/>
    </row>
    <row r="45" spans="1:24" ht="15" customHeight="1" thickBot="1">
      <c r="A45" s="272" t="s">
        <v>80</v>
      </c>
      <c r="B45" s="50">
        <f t="shared" ref="B45:L45" si="36">ROUNDUP(B32*0.1,-2)</f>
        <v>40500</v>
      </c>
      <c r="C45" s="50">
        <f t="shared" si="36"/>
        <v>40500</v>
      </c>
      <c r="D45" s="125">
        <f t="shared" si="36"/>
        <v>0</v>
      </c>
      <c r="E45" s="126">
        <f>ROUND(E32*$M$40,0)</f>
        <v>0</v>
      </c>
      <c r="F45" s="125">
        <f t="shared" ref="F45:K45" si="37">ROUND(F32*$M$40,0)</f>
        <v>0</v>
      </c>
      <c r="G45" s="125">
        <f t="shared" si="37"/>
        <v>0</v>
      </c>
      <c r="H45" s="125">
        <f t="shared" si="37"/>
        <v>0</v>
      </c>
      <c r="I45" s="125">
        <f t="shared" si="37"/>
        <v>0</v>
      </c>
      <c r="J45" s="125">
        <f t="shared" si="37"/>
        <v>0</v>
      </c>
      <c r="K45" s="127">
        <f t="shared" si="37"/>
        <v>0</v>
      </c>
      <c r="L45" s="236">
        <f t="shared" si="36"/>
        <v>2818100</v>
      </c>
      <c r="M45" s="53"/>
      <c r="N45" s="215"/>
      <c r="O45" s="214"/>
      <c r="P45" s="74"/>
      <c r="Q45" s="29"/>
      <c r="R45" s="71"/>
      <c r="S45" s="216">
        <v>40000001</v>
      </c>
      <c r="T45" s="294">
        <v>0.45945000000000003</v>
      </c>
      <c r="V45" s="6"/>
      <c r="W45" s="6"/>
      <c r="X45" s="6"/>
    </row>
    <row r="46" spans="1:24" ht="15" customHeight="1">
      <c r="A46" s="272" t="s">
        <v>81</v>
      </c>
      <c r="B46" s="128">
        <f t="shared" ref="B46:L46" si="38">0.9-VLOOKUP(B69,$S$38:$T$44,2)</f>
        <v>0.69579999999999997</v>
      </c>
      <c r="C46" s="128">
        <f t="shared" si="38"/>
        <v>0.69579999999999997</v>
      </c>
      <c r="D46" s="129">
        <f t="shared" si="38"/>
        <v>0.9</v>
      </c>
      <c r="E46" s="217">
        <f>0.9-VLOOKUP(E69,$S$38:$T$45,2)</f>
        <v>0.9</v>
      </c>
      <c r="F46" s="261">
        <f t="shared" ref="F46:K46" si="39">0.9-VLOOKUP(F69,$S$38:$T$45,2)</f>
        <v>0.9</v>
      </c>
      <c r="G46" s="261">
        <f t="shared" si="39"/>
        <v>0.9</v>
      </c>
      <c r="H46" s="261">
        <f t="shared" si="39"/>
        <v>0.9</v>
      </c>
      <c r="I46" s="261">
        <f t="shared" si="39"/>
        <v>0.9</v>
      </c>
      <c r="J46" s="261">
        <f t="shared" si="39"/>
        <v>0.9</v>
      </c>
      <c r="K46" s="267">
        <f t="shared" si="39"/>
        <v>0.9</v>
      </c>
      <c r="L46" s="237">
        <f t="shared" si="38"/>
        <v>0.49160000000000004</v>
      </c>
      <c r="M46" s="53"/>
      <c r="N46" s="53"/>
      <c r="O46" s="53"/>
      <c r="Q46" s="213"/>
      <c r="R46" s="212"/>
      <c r="S46" s="213"/>
      <c r="T46" s="212"/>
      <c r="V46" s="6"/>
      <c r="W46" s="6"/>
      <c r="X46" s="6"/>
    </row>
    <row r="47" spans="1:24" ht="15" customHeight="1" thickBot="1">
      <c r="A47" s="272" t="s">
        <v>82</v>
      </c>
      <c r="B47" s="50">
        <f>B45/B46+2000</f>
        <v>60206.381144006904</v>
      </c>
      <c r="C47" s="50">
        <f t="shared" ref="C47:L47" si="40">C45/C46+2000</f>
        <v>60206.381144006904</v>
      </c>
      <c r="D47" s="125">
        <f t="shared" si="40"/>
        <v>2000</v>
      </c>
      <c r="E47" s="126">
        <f>E45/E46+2000</f>
        <v>2000</v>
      </c>
      <c r="F47" s="125">
        <f t="shared" si="40"/>
        <v>2000</v>
      </c>
      <c r="G47" s="125">
        <f t="shared" si="40"/>
        <v>2000</v>
      </c>
      <c r="H47" s="125">
        <f t="shared" si="40"/>
        <v>2000</v>
      </c>
      <c r="I47" s="125">
        <f t="shared" si="40"/>
        <v>2000</v>
      </c>
      <c r="J47" s="125">
        <f t="shared" si="40"/>
        <v>2000</v>
      </c>
      <c r="K47" s="268">
        <f t="shared" si="40"/>
        <v>2000</v>
      </c>
      <c r="L47" s="236">
        <f t="shared" si="40"/>
        <v>5734506.1025223751</v>
      </c>
      <c r="M47" s="53"/>
      <c r="N47" s="53"/>
      <c r="O47" s="53"/>
      <c r="Q47" s="29" t="s">
        <v>39</v>
      </c>
      <c r="R47" s="71"/>
      <c r="S47" s="29" t="s">
        <v>39</v>
      </c>
      <c r="T47" s="71"/>
      <c r="V47" s="6"/>
      <c r="W47" s="6"/>
      <c r="X47" s="6"/>
    </row>
    <row r="48" spans="1:24" ht="15" customHeight="1">
      <c r="A48" s="273" t="s">
        <v>122</v>
      </c>
      <c r="B48" s="201">
        <f t="shared" ref="B48:I48" si="41">ROUNDDOWN(B36-B43*6/10,-2)</f>
        <v>242700</v>
      </c>
      <c r="C48" s="201">
        <f t="shared" si="41"/>
        <v>242700</v>
      </c>
      <c r="D48" s="201">
        <f t="shared" si="41"/>
        <v>0</v>
      </c>
      <c r="E48" s="201">
        <f t="shared" si="41"/>
        <v>0</v>
      </c>
      <c r="F48" s="201">
        <f t="shared" si="41"/>
        <v>0</v>
      </c>
      <c r="G48" s="201">
        <f t="shared" si="41"/>
        <v>0</v>
      </c>
      <c r="H48" s="201">
        <f t="shared" si="41"/>
        <v>0</v>
      </c>
      <c r="I48" s="201">
        <f t="shared" si="41"/>
        <v>0</v>
      </c>
      <c r="J48" s="201">
        <f>ROUNDDOWN(J36-J43*6/10,-2)</f>
        <v>0</v>
      </c>
      <c r="K48" s="288">
        <f t="shared" ref="K48:L48" si="42">ROUNDDOWN(K36-K43*6/10,-2)</f>
        <v>0</v>
      </c>
      <c r="L48" s="238">
        <f t="shared" si="42"/>
        <v>16908400</v>
      </c>
      <c r="M48" s="53"/>
      <c r="N48" s="53"/>
      <c r="O48" s="53"/>
      <c r="Q48" s="29">
        <v>-2000000</v>
      </c>
      <c r="R48" s="71">
        <v>0</v>
      </c>
      <c r="S48" s="29">
        <v>-2000000</v>
      </c>
      <c r="T48" s="295">
        <v>0</v>
      </c>
      <c r="V48" s="6"/>
      <c r="W48" s="6"/>
      <c r="X48" s="6"/>
    </row>
    <row r="49" spans="1:24" ht="15" customHeight="1" thickBot="1">
      <c r="A49" s="274" t="s">
        <v>123</v>
      </c>
      <c r="B49" s="202">
        <f t="shared" ref="B49:I49" si="43">ROUNDDOWN(B37-B43*4/10,-2)</f>
        <v>161800</v>
      </c>
      <c r="C49" s="202">
        <f t="shared" si="43"/>
        <v>161800</v>
      </c>
      <c r="D49" s="202">
        <f t="shared" si="43"/>
        <v>0</v>
      </c>
      <c r="E49" s="202">
        <f t="shared" si="43"/>
        <v>0</v>
      </c>
      <c r="F49" s="202">
        <f t="shared" si="43"/>
        <v>0</v>
      </c>
      <c r="G49" s="202">
        <f t="shared" si="43"/>
        <v>0</v>
      </c>
      <c r="H49" s="202">
        <f t="shared" si="43"/>
        <v>0</v>
      </c>
      <c r="I49" s="202">
        <f t="shared" si="43"/>
        <v>0</v>
      </c>
      <c r="J49" s="202">
        <f>ROUNDDOWN(J37-J43*4/10,-2)</f>
        <v>0</v>
      </c>
      <c r="K49" s="289">
        <f t="shared" ref="K49:L49" si="44">ROUNDDOWN(K37-K43*4/10,-2)</f>
        <v>0</v>
      </c>
      <c r="L49" s="239">
        <f t="shared" si="44"/>
        <v>11272200</v>
      </c>
      <c r="M49" s="53"/>
      <c r="N49" s="53"/>
      <c r="O49" s="53"/>
      <c r="Q49" s="29">
        <v>1</v>
      </c>
      <c r="R49" s="71">
        <v>0</v>
      </c>
      <c r="S49" s="29">
        <v>1</v>
      </c>
      <c r="T49" s="295">
        <v>0</v>
      </c>
      <c r="V49" s="6"/>
      <c r="W49" s="6"/>
      <c r="X49" s="6"/>
    </row>
    <row r="50" spans="1:24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3">
        <v>3500</v>
      </c>
      <c r="L50" s="240">
        <v>3000</v>
      </c>
      <c r="M50" s="53"/>
      <c r="N50" s="53"/>
      <c r="O50" s="53"/>
      <c r="Q50" s="29"/>
      <c r="R50" s="71"/>
      <c r="S50" s="29">
        <v>1950001</v>
      </c>
      <c r="T50" s="295">
        <v>99547.5</v>
      </c>
      <c r="V50" s="6"/>
      <c r="W50" s="6"/>
      <c r="X50" s="6"/>
    </row>
    <row r="51" spans="1:24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6">
        <v>1500</v>
      </c>
      <c r="L51" s="241">
        <v>1000</v>
      </c>
      <c r="M51" s="53"/>
      <c r="N51" s="53"/>
      <c r="O51" s="53"/>
      <c r="Q51" s="29"/>
      <c r="R51" s="71"/>
      <c r="S51" s="29">
        <v>3300001</v>
      </c>
      <c r="T51" s="295">
        <v>436477.5</v>
      </c>
      <c r="V51" s="6"/>
      <c r="W51" s="6"/>
      <c r="X51" s="6"/>
    </row>
    <row r="52" spans="1:24" ht="15" customHeight="1">
      <c r="A52" s="277" t="s">
        <v>74</v>
      </c>
      <c r="B52" s="203">
        <f>B48+B50</f>
        <v>245700</v>
      </c>
      <c r="C52" s="203">
        <f t="shared" ref="C52:L52" si="45">C48+C50</f>
        <v>245700</v>
      </c>
      <c r="D52" s="203">
        <f t="shared" si="45"/>
        <v>3000</v>
      </c>
      <c r="E52" s="203">
        <f t="shared" si="45"/>
        <v>3500</v>
      </c>
      <c r="F52" s="203">
        <f t="shared" si="45"/>
        <v>3500</v>
      </c>
      <c r="G52" s="203">
        <f t="shared" si="45"/>
        <v>3500</v>
      </c>
      <c r="H52" s="203">
        <f t="shared" si="45"/>
        <v>3500</v>
      </c>
      <c r="I52" s="203">
        <f t="shared" si="45"/>
        <v>3500</v>
      </c>
      <c r="J52" s="203">
        <f t="shared" si="45"/>
        <v>3500</v>
      </c>
      <c r="K52" s="290">
        <f t="shared" si="45"/>
        <v>3500</v>
      </c>
      <c r="L52" s="242">
        <f t="shared" si="45"/>
        <v>16911400</v>
      </c>
      <c r="M52" s="53"/>
      <c r="N52" s="53"/>
      <c r="O52" s="53"/>
      <c r="Q52" s="29"/>
      <c r="R52" s="71"/>
      <c r="S52" s="29">
        <v>6950001</v>
      </c>
      <c r="T52" s="295">
        <v>649356</v>
      </c>
      <c r="V52" s="6"/>
      <c r="W52" s="6"/>
      <c r="X52" s="6"/>
    </row>
    <row r="53" spans="1:24" ht="15" customHeight="1">
      <c r="A53" s="278" t="s">
        <v>75</v>
      </c>
      <c r="B53" s="53">
        <f>B49+B51</f>
        <v>162800</v>
      </c>
      <c r="C53" s="53">
        <f t="shared" ref="C53:L53" si="46">C49+C51</f>
        <v>162800</v>
      </c>
      <c r="D53" s="53">
        <f t="shared" si="46"/>
        <v>1000</v>
      </c>
      <c r="E53" s="53">
        <f t="shared" si="46"/>
        <v>1500</v>
      </c>
      <c r="F53" s="53">
        <f t="shared" si="46"/>
        <v>1500</v>
      </c>
      <c r="G53" s="53">
        <f t="shared" si="46"/>
        <v>1500</v>
      </c>
      <c r="H53" s="53">
        <f t="shared" si="46"/>
        <v>1500</v>
      </c>
      <c r="I53" s="53">
        <f t="shared" si="46"/>
        <v>1500</v>
      </c>
      <c r="J53" s="53">
        <f t="shared" si="46"/>
        <v>1500</v>
      </c>
      <c r="K53" s="55">
        <f t="shared" si="46"/>
        <v>1500</v>
      </c>
      <c r="L53" s="243">
        <f t="shared" si="46"/>
        <v>11273200</v>
      </c>
      <c r="M53" s="53"/>
      <c r="N53" s="53"/>
      <c r="O53" s="53"/>
      <c r="Q53" s="29"/>
      <c r="R53" s="71"/>
      <c r="S53" s="29">
        <v>9000001</v>
      </c>
      <c r="T53" s="295">
        <v>1568256</v>
      </c>
    </row>
    <row r="54" spans="1:24" ht="15" customHeight="1" thickBot="1">
      <c r="A54" s="279" t="s">
        <v>78</v>
      </c>
      <c r="B54" s="204">
        <f>SUM(B52:B53)</f>
        <v>408500</v>
      </c>
      <c r="C54" s="204">
        <f t="shared" ref="C54:L54" si="47">SUM(C52:C53)</f>
        <v>408500</v>
      </c>
      <c r="D54" s="204">
        <f t="shared" si="47"/>
        <v>4000</v>
      </c>
      <c r="E54" s="205">
        <f>SUM(E52:E53)</f>
        <v>5000</v>
      </c>
      <c r="F54" s="204">
        <f t="shared" si="47"/>
        <v>5000</v>
      </c>
      <c r="G54" s="204">
        <f t="shared" si="47"/>
        <v>5000</v>
      </c>
      <c r="H54" s="204">
        <f t="shared" si="47"/>
        <v>5000</v>
      </c>
      <c r="I54" s="204">
        <f t="shared" si="47"/>
        <v>5000</v>
      </c>
      <c r="J54" s="204">
        <f t="shared" si="47"/>
        <v>5000</v>
      </c>
      <c r="K54" s="206">
        <f t="shared" si="47"/>
        <v>5000</v>
      </c>
      <c r="L54" s="244">
        <f t="shared" si="47"/>
        <v>28184600</v>
      </c>
      <c r="M54" s="53"/>
      <c r="N54" s="53"/>
      <c r="O54" s="91"/>
      <c r="Q54" s="29"/>
      <c r="R54" s="71"/>
      <c r="S54" s="29">
        <v>18000001</v>
      </c>
      <c r="T54" s="295">
        <v>2854716</v>
      </c>
    </row>
    <row r="55" spans="1:24" ht="15" customHeight="1" thickBot="1">
      <c r="A55" s="280" t="s">
        <v>100</v>
      </c>
      <c r="B55" s="51"/>
      <c r="C55" s="51"/>
      <c r="D55" s="138"/>
      <c r="E55" s="173" t="e">
        <f t="shared" ref="E55:K55" si="48">E43/E38</f>
        <v>#DIV/0!</v>
      </c>
      <c r="F55" s="259" t="e">
        <f t="shared" si="48"/>
        <v>#DIV/0!</v>
      </c>
      <c r="G55" s="259" t="e">
        <f t="shared" si="48"/>
        <v>#DIV/0!</v>
      </c>
      <c r="H55" s="259" t="e">
        <f t="shared" si="48"/>
        <v>#DIV/0!</v>
      </c>
      <c r="I55" s="259" t="e">
        <f t="shared" si="48"/>
        <v>#DIV/0!</v>
      </c>
      <c r="J55" s="259" t="e">
        <f t="shared" si="48"/>
        <v>#DIV/0!</v>
      </c>
      <c r="K55" s="258" t="e">
        <f t="shared" si="48"/>
        <v>#DIV/0!</v>
      </c>
      <c r="L55" s="245"/>
      <c r="M55" s="91"/>
      <c r="N55" s="53"/>
      <c r="O55" s="91"/>
      <c r="Q55" s="29"/>
      <c r="R55" s="71"/>
      <c r="S55" s="216">
        <v>40000001</v>
      </c>
      <c r="T55" s="296">
        <v>4896716</v>
      </c>
    </row>
    <row r="56" spans="1:24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269"/>
      <c r="L56" s="246"/>
      <c r="M56" s="53"/>
      <c r="N56" s="53"/>
      <c r="O56" s="53"/>
      <c r="Q56" s="316" t="s">
        <v>32</v>
      </c>
      <c r="R56" s="317"/>
      <c r="S56" s="316" t="s">
        <v>33</v>
      </c>
      <c r="T56" s="317"/>
    </row>
    <row r="57" spans="1:24" ht="15" customHeight="1">
      <c r="A57" s="281" t="s">
        <v>0</v>
      </c>
      <c r="B57" s="130">
        <f t="shared" ref="B57:L57" si="49">B9</f>
        <v>7000000</v>
      </c>
      <c r="C57" s="137">
        <f t="shared" si="49"/>
        <v>7000000</v>
      </c>
      <c r="D57" s="141">
        <f t="shared" si="49"/>
        <v>0</v>
      </c>
      <c r="E57" s="142">
        <f t="shared" si="49"/>
        <v>0</v>
      </c>
      <c r="F57" s="141">
        <f t="shared" si="49"/>
        <v>0</v>
      </c>
      <c r="G57" s="141">
        <f t="shared" si="49"/>
        <v>0</v>
      </c>
      <c r="H57" s="141">
        <f t="shared" si="49"/>
        <v>0</v>
      </c>
      <c r="I57" s="141">
        <f t="shared" si="49"/>
        <v>0</v>
      </c>
      <c r="J57" s="141">
        <f t="shared" si="49"/>
        <v>0</v>
      </c>
      <c r="K57" s="143">
        <f t="shared" si="49"/>
        <v>0</v>
      </c>
      <c r="L57" s="247">
        <f t="shared" si="49"/>
        <v>300000000</v>
      </c>
      <c r="M57" s="53"/>
      <c r="N57" s="91"/>
      <c r="O57" s="53"/>
      <c r="Q57" s="144" t="s">
        <v>60</v>
      </c>
      <c r="R57" s="145">
        <v>330000</v>
      </c>
      <c r="S57" s="146" t="s">
        <v>60</v>
      </c>
      <c r="T57" s="145">
        <v>380000</v>
      </c>
    </row>
    <row r="58" spans="1:24" ht="15" customHeight="1">
      <c r="A58" s="282" t="s">
        <v>12</v>
      </c>
      <c r="B58" s="50">
        <f>B57*VLOOKUP(B57,$S$6:$T$11,2)+VLOOKUP(B57,$S$14:$T$19,2)</f>
        <v>1900000</v>
      </c>
      <c r="C58" s="51">
        <f>C57*VLOOKUP(C57,$S$6:$T$11,2)+VLOOKUP(C57,$S$14:$T$19,2)</f>
        <v>1900000</v>
      </c>
      <c r="D58" s="6">
        <f>D57*VLOOKUP(D57,$S$6:$T$11,2)+VLOOKUP(D57,$S$14:$T$19,2)</f>
        <v>650000</v>
      </c>
      <c r="E58" s="52">
        <f>E57*VLOOKUP(E57,$S$6:$T$12,2)+VLOOKUP(E57,$S$14:$T$20,2)</f>
        <v>650000</v>
      </c>
      <c r="F58" s="6">
        <f t="shared" ref="F58:L58" si="50">F57*VLOOKUP(F57,$S$6:$T$12,2)+VLOOKUP(F57,$S$14:$T$20,2)</f>
        <v>650000</v>
      </c>
      <c r="G58" s="6">
        <f t="shared" si="50"/>
        <v>650000</v>
      </c>
      <c r="H58" s="6">
        <f t="shared" si="50"/>
        <v>650000</v>
      </c>
      <c r="I58" s="6">
        <f>I57*VLOOKUP(I57,$S$6:$T$12,2)+VLOOKUP(I57,$S$14:$T$20,2)</f>
        <v>650000</v>
      </c>
      <c r="J58" s="6">
        <f t="shared" si="50"/>
        <v>650000</v>
      </c>
      <c r="K58" s="72">
        <f t="shared" si="50"/>
        <v>650000</v>
      </c>
      <c r="L58" s="223">
        <f t="shared" si="50"/>
        <v>2450000</v>
      </c>
      <c r="M58" s="53"/>
      <c r="N58" s="53"/>
      <c r="O58" s="53"/>
      <c r="Q58" s="144" t="s">
        <v>62</v>
      </c>
      <c r="R58" s="145">
        <v>330000</v>
      </c>
      <c r="S58" s="146" t="s">
        <v>62</v>
      </c>
      <c r="T58" s="145">
        <v>380000</v>
      </c>
    </row>
    <row r="59" spans="1:24" ht="15" customHeight="1">
      <c r="A59" s="282" t="s">
        <v>30</v>
      </c>
      <c r="B59" s="50">
        <f t="shared" ref="B59" si="51">B57-B58</f>
        <v>5100000</v>
      </c>
      <c r="C59" s="51">
        <f>C57-C58</f>
        <v>5100000</v>
      </c>
      <c r="D59" s="6">
        <f>D57-D58</f>
        <v>-650000</v>
      </c>
      <c r="E59" s="52">
        <f t="shared" ref="E59:L59" si="52">E57-E58</f>
        <v>-650000</v>
      </c>
      <c r="F59" s="6">
        <f t="shared" si="52"/>
        <v>-650000</v>
      </c>
      <c r="G59" s="6">
        <f t="shared" si="52"/>
        <v>-650000</v>
      </c>
      <c r="H59" s="6">
        <f t="shared" si="52"/>
        <v>-650000</v>
      </c>
      <c r="I59" s="6">
        <f t="shared" si="52"/>
        <v>-650000</v>
      </c>
      <c r="J59" s="6">
        <f t="shared" si="52"/>
        <v>-650000</v>
      </c>
      <c r="K59" s="72">
        <f t="shared" si="52"/>
        <v>-650000</v>
      </c>
      <c r="L59" s="223">
        <f t="shared" si="52"/>
        <v>297550000</v>
      </c>
      <c r="N59" s="53"/>
      <c r="Q59" s="144" t="s">
        <v>34</v>
      </c>
      <c r="R59" s="145">
        <v>0</v>
      </c>
      <c r="S59" s="146" t="s">
        <v>34</v>
      </c>
      <c r="T59" s="145">
        <v>0</v>
      </c>
    </row>
    <row r="60" spans="1:24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72"/>
      <c r="L60" s="223"/>
      <c r="N60" s="53"/>
      <c r="Q60" s="144" t="s">
        <v>65</v>
      </c>
      <c r="R60" s="145">
        <v>330000</v>
      </c>
      <c r="S60" s="146" t="s">
        <v>65</v>
      </c>
      <c r="T60" s="145">
        <v>380000</v>
      </c>
    </row>
    <row r="61" spans="1:24" ht="15" customHeight="1" thickBot="1">
      <c r="A61" s="282" t="s">
        <v>20</v>
      </c>
      <c r="B61" s="50">
        <f>B57*VLOOKUP(B57,$S$23:$T$25,2)+VLOOKUP(B57,$S$27:$T$29,2)</f>
        <v>700000</v>
      </c>
      <c r="C61" s="51">
        <f>C57*VLOOKUP(C57,$S$23:$T$25,2)+VLOOKUP(C57,$S$27:$T$29,2)</f>
        <v>700000</v>
      </c>
      <c r="D61" s="6">
        <f>D57*VLOOKUP(D57,$S$23:$T$25,2)+VLOOKUP(D57,$S$27:$T$29,2)</f>
        <v>0</v>
      </c>
      <c r="E61" s="52">
        <f t="shared" ref="E61:L61" si="53">E57*VLOOKUP(E57,$S$23:$T$25,2)+VLOOKUP(E57,$S$27:$T$29,2)</f>
        <v>0</v>
      </c>
      <c r="F61" s="6">
        <f t="shared" si="53"/>
        <v>0</v>
      </c>
      <c r="G61" s="6">
        <f t="shared" si="53"/>
        <v>0</v>
      </c>
      <c r="H61" s="6">
        <f t="shared" si="53"/>
        <v>0</v>
      </c>
      <c r="I61" s="6">
        <f t="shared" si="53"/>
        <v>0</v>
      </c>
      <c r="J61" s="6">
        <f t="shared" si="53"/>
        <v>0</v>
      </c>
      <c r="K61" s="72">
        <f t="shared" si="53"/>
        <v>0</v>
      </c>
      <c r="L61" s="223">
        <f t="shared" si="53"/>
        <v>1140000</v>
      </c>
      <c r="Q61" s="147" t="s">
        <v>35</v>
      </c>
      <c r="R61" s="148">
        <v>450000</v>
      </c>
      <c r="S61" s="149" t="s">
        <v>36</v>
      </c>
      <c r="T61" s="148">
        <v>630000</v>
      </c>
    </row>
    <row r="62" spans="1:24" ht="15" customHeight="1">
      <c r="A62" s="282" t="s">
        <v>21</v>
      </c>
      <c r="B62" s="50">
        <f t="shared" ref="B62:L62" si="54">IF($M$2=1,$T$32,0)</f>
        <v>0</v>
      </c>
      <c r="C62" s="51">
        <f t="shared" si="54"/>
        <v>0</v>
      </c>
      <c r="D62" s="6">
        <f t="shared" si="54"/>
        <v>0</v>
      </c>
      <c r="E62" s="52">
        <f t="shared" si="54"/>
        <v>0</v>
      </c>
      <c r="F62" s="6">
        <f t="shared" si="54"/>
        <v>0</v>
      </c>
      <c r="G62" s="6">
        <f t="shared" si="54"/>
        <v>0</v>
      </c>
      <c r="H62" s="6">
        <f t="shared" si="54"/>
        <v>0</v>
      </c>
      <c r="I62" s="6">
        <f t="shared" si="54"/>
        <v>0</v>
      </c>
      <c r="J62" s="6">
        <f t="shared" si="54"/>
        <v>0</v>
      </c>
      <c r="K62" s="72">
        <f t="shared" si="54"/>
        <v>0</v>
      </c>
      <c r="L62" s="223">
        <f t="shared" si="54"/>
        <v>0</v>
      </c>
    </row>
    <row r="63" spans="1:24" ht="15" customHeight="1">
      <c r="A63" s="282" t="s">
        <v>22</v>
      </c>
      <c r="B63" s="50">
        <f t="shared" ref="B63:L63" si="55">IF(B59&lt;10000000,IF($M$2=1,$T$33,0),0)</f>
        <v>0</v>
      </c>
      <c r="C63" s="51">
        <f t="shared" si="55"/>
        <v>0</v>
      </c>
      <c r="D63" s="6">
        <f t="shared" si="55"/>
        <v>0</v>
      </c>
      <c r="E63" s="52">
        <f t="shared" si="55"/>
        <v>0</v>
      </c>
      <c r="F63" s="6">
        <f t="shared" si="55"/>
        <v>0</v>
      </c>
      <c r="G63" s="6">
        <f t="shared" si="55"/>
        <v>0</v>
      </c>
      <c r="H63" s="6">
        <f t="shared" si="55"/>
        <v>0</v>
      </c>
      <c r="I63" s="6">
        <f t="shared" si="55"/>
        <v>0</v>
      </c>
      <c r="J63" s="6">
        <f t="shared" si="55"/>
        <v>0</v>
      </c>
      <c r="K63" s="72">
        <f t="shared" si="55"/>
        <v>0</v>
      </c>
      <c r="L63" s="223">
        <f t="shared" si="55"/>
        <v>0</v>
      </c>
    </row>
    <row r="64" spans="1:24" ht="15" customHeight="1">
      <c r="A64" s="282" t="s">
        <v>24</v>
      </c>
      <c r="B64" s="50">
        <f t="shared" ref="B64:L64" si="56">IF($M$5&gt;0,$M$5*$T$34,0)+IF($M$6&gt;0,$M$6*$T$35)+IF($M$7&gt;0,$M$7*$T$34,0)</f>
        <v>0</v>
      </c>
      <c r="C64" s="51">
        <f t="shared" si="56"/>
        <v>0</v>
      </c>
      <c r="D64" s="6">
        <f t="shared" si="56"/>
        <v>0</v>
      </c>
      <c r="E64" s="52">
        <f t="shared" si="56"/>
        <v>0</v>
      </c>
      <c r="F64" s="6">
        <f t="shared" si="56"/>
        <v>0</v>
      </c>
      <c r="G64" s="6">
        <f t="shared" si="56"/>
        <v>0</v>
      </c>
      <c r="H64" s="6">
        <f t="shared" si="56"/>
        <v>0</v>
      </c>
      <c r="I64" s="6">
        <f t="shared" si="56"/>
        <v>0</v>
      </c>
      <c r="J64" s="6">
        <f t="shared" si="56"/>
        <v>0</v>
      </c>
      <c r="K64" s="72">
        <f t="shared" si="56"/>
        <v>0</v>
      </c>
      <c r="L64" s="223">
        <f t="shared" si="56"/>
        <v>0</v>
      </c>
    </row>
    <row r="65" spans="1:20" ht="15" customHeight="1">
      <c r="A65" s="282" t="s">
        <v>25</v>
      </c>
      <c r="B65" s="50">
        <f>$T$31</f>
        <v>380000</v>
      </c>
      <c r="C65" s="51">
        <f>$T$31</f>
        <v>380000</v>
      </c>
      <c r="D65" s="6">
        <f>$T$31</f>
        <v>380000</v>
      </c>
      <c r="E65" s="52">
        <f t="shared" ref="E65:L65" si="57">$T$31</f>
        <v>380000</v>
      </c>
      <c r="F65" s="6">
        <f t="shared" si="57"/>
        <v>380000</v>
      </c>
      <c r="G65" s="6">
        <f t="shared" si="57"/>
        <v>380000</v>
      </c>
      <c r="H65" s="6">
        <f t="shared" si="57"/>
        <v>380000</v>
      </c>
      <c r="I65" s="6">
        <f t="shared" si="57"/>
        <v>380000</v>
      </c>
      <c r="J65" s="6">
        <f t="shared" si="57"/>
        <v>380000</v>
      </c>
      <c r="K65" s="72">
        <f t="shared" si="57"/>
        <v>380000</v>
      </c>
      <c r="L65" s="223">
        <f t="shared" si="57"/>
        <v>380000</v>
      </c>
    </row>
    <row r="66" spans="1:20" ht="15" customHeight="1">
      <c r="A66" s="282" t="s">
        <v>26</v>
      </c>
      <c r="B66" s="50">
        <f>SUM(B60:B65)</f>
        <v>1080000</v>
      </c>
      <c r="C66" s="51">
        <f>SUM(C60:C65)+D91</f>
        <v>1080000</v>
      </c>
      <c r="D66" s="6">
        <f t="shared" ref="D66:L66" si="58">SUM(D60:D65)</f>
        <v>380000</v>
      </c>
      <c r="E66" s="52">
        <f>SUM(E60:E65)</f>
        <v>380000</v>
      </c>
      <c r="F66" s="6">
        <f t="shared" si="58"/>
        <v>380000</v>
      </c>
      <c r="G66" s="6">
        <f t="shared" si="58"/>
        <v>380000</v>
      </c>
      <c r="H66" s="6">
        <f t="shared" si="58"/>
        <v>380000</v>
      </c>
      <c r="I66" s="6">
        <f t="shared" si="58"/>
        <v>380000</v>
      </c>
      <c r="J66" s="6">
        <f t="shared" si="58"/>
        <v>380000</v>
      </c>
      <c r="K66" s="72">
        <f t="shared" si="58"/>
        <v>380000</v>
      </c>
      <c r="L66" s="223">
        <f t="shared" si="58"/>
        <v>1520000</v>
      </c>
    </row>
    <row r="67" spans="1:20" ht="15" customHeight="1">
      <c r="A67" s="283" t="s">
        <v>124</v>
      </c>
      <c r="B67" s="139">
        <f t="shared" ref="B67:D67" si="59">IF(B39&lt;=2000,0,IF(B39&gt;B59*40%,(B59*40%-2000)*VLOOKUP(B69,$S$38:$T$44,2),(B39-2000)*VLOOKUP(B69,$S$38:$T$44,2)))</f>
        <v>0</v>
      </c>
      <c r="C67" s="151">
        <f t="shared" si="59"/>
        <v>0</v>
      </c>
      <c r="D67" s="151">
        <f t="shared" si="59"/>
        <v>0</v>
      </c>
      <c r="E67" s="218">
        <f>IF(E39&lt;=2000,0,IF(E39&gt;E59*40%,(E59*40%-2000)*VLOOKUP(E69,$S$38:$T$45,2),(E39-2000)*VLOOKUP(E69,$S$38:$T$45,2)))</f>
        <v>0</v>
      </c>
      <c r="F67" s="256">
        <f t="shared" ref="F67:K67" si="60">IF(F39&lt;=2000,0,IF(F39&gt;F59*40%,(F59*40%-2000)*VLOOKUP(F69,$S$38:$T$45,2),(F39-2000)*VLOOKUP(F69,$S$38:$T$45,2)))</f>
        <v>0</v>
      </c>
      <c r="G67" s="256">
        <f t="shared" si="60"/>
        <v>0</v>
      </c>
      <c r="H67" s="256">
        <f t="shared" si="60"/>
        <v>0</v>
      </c>
      <c r="I67" s="256">
        <f t="shared" si="60"/>
        <v>0</v>
      </c>
      <c r="J67" s="256">
        <f t="shared" si="60"/>
        <v>0</v>
      </c>
      <c r="K67" s="253">
        <f t="shared" si="60"/>
        <v>0</v>
      </c>
      <c r="L67" s="248"/>
    </row>
    <row r="68" spans="1:20" s="209" customFormat="1" ht="15" customHeight="1">
      <c r="A68" s="284" t="s">
        <v>88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K68" si="61">IF(F39="",0,IF(F39&lt;=F59*0.4,IF(F39-2000&gt;0,F39-2000,0),F59*0.4-2000))</f>
        <v>0</v>
      </c>
      <c r="G68" s="257">
        <f t="shared" si="61"/>
        <v>0</v>
      </c>
      <c r="H68" s="257">
        <f t="shared" si="61"/>
        <v>0</v>
      </c>
      <c r="I68" s="257">
        <f t="shared" si="61"/>
        <v>0</v>
      </c>
      <c r="J68" s="257">
        <f t="shared" si="61"/>
        <v>0</v>
      </c>
      <c r="K68" s="254">
        <f t="shared" si="61"/>
        <v>-262000</v>
      </c>
      <c r="L68" s="286"/>
      <c r="N68" s="1"/>
      <c r="O68" s="1"/>
      <c r="P68" s="1"/>
      <c r="Q68" s="1"/>
      <c r="R68" s="1"/>
      <c r="S68" s="1"/>
      <c r="T68" s="1"/>
    </row>
    <row r="69" spans="1:20" ht="15" customHeight="1">
      <c r="A69" s="282" t="s">
        <v>27</v>
      </c>
      <c r="B69" s="50">
        <f t="shared" ref="B69:L69" si="62">ROUNDDOWN(IF(B59-B66&lt;0,0,B59-B66),-3)</f>
        <v>4020000</v>
      </c>
      <c r="C69" s="51">
        <f t="shared" si="62"/>
        <v>4020000</v>
      </c>
      <c r="D69" s="53">
        <f t="shared" si="62"/>
        <v>0</v>
      </c>
      <c r="E69" s="54">
        <f>ROUNDDOWN(IF(E59-E66&lt;0,0,E59-E66),-3)</f>
        <v>0</v>
      </c>
      <c r="F69" s="53">
        <f t="shared" si="62"/>
        <v>0</v>
      </c>
      <c r="G69" s="53">
        <f t="shared" si="62"/>
        <v>0</v>
      </c>
      <c r="H69" s="53">
        <f t="shared" si="62"/>
        <v>0</v>
      </c>
      <c r="I69" s="53">
        <f t="shared" si="62"/>
        <v>0</v>
      </c>
      <c r="J69" s="53">
        <f t="shared" si="62"/>
        <v>0</v>
      </c>
      <c r="K69" s="55">
        <f t="shared" si="62"/>
        <v>0</v>
      </c>
      <c r="L69" s="287">
        <f t="shared" si="62"/>
        <v>296030000</v>
      </c>
    </row>
    <row r="70" spans="1:20" ht="15" customHeight="1">
      <c r="A70" s="285" t="s">
        <v>89</v>
      </c>
      <c r="B70" s="150"/>
      <c r="C70" s="139"/>
      <c r="D70" s="139"/>
      <c r="E70" s="211">
        <f>ROUNDDOWN(E69-E68,-3)</f>
        <v>0</v>
      </c>
      <c r="F70" s="255">
        <f t="shared" ref="F70:K70" si="63">ROUNDDOWN(F69-F68,-3)</f>
        <v>0</v>
      </c>
      <c r="G70" s="255">
        <f t="shared" si="63"/>
        <v>0</v>
      </c>
      <c r="H70" s="255">
        <f t="shared" si="63"/>
        <v>0</v>
      </c>
      <c r="I70" s="255">
        <f t="shared" si="63"/>
        <v>0</v>
      </c>
      <c r="J70" s="255">
        <f t="shared" si="63"/>
        <v>0</v>
      </c>
      <c r="K70" s="291">
        <f t="shared" si="63"/>
        <v>262000</v>
      </c>
      <c r="L70" s="248"/>
      <c r="N70" s="209"/>
      <c r="O70" s="209"/>
      <c r="P70" s="209"/>
      <c r="Q70" s="209"/>
      <c r="R70" s="209"/>
      <c r="S70" s="209"/>
      <c r="T70" s="209"/>
    </row>
    <row r="71" spans="1:20" ht="15" customHeight="1">
      <c r="A71" s="282" t="s">
        <v>38</v>
      </c>
      <c r="B71" s="50">
        <f>ROUNDDOWN(B69*VLOOKUP(B69,$S$38:$T$44,2)-VLOOKUP(B69,$S$48:$T$54,2),-2)</f>
        <v>384400</v>
      </c>
      <c r="C71" s="50">
        <f>ROUNDDOWN(C69*VLOOKUP(C69,$S$38:$T$44,2)-VLOOKUP(C69,$S$48:$T$54,2),-2)</f>
        <v>384400</v>
      </c>
      <c r="D71" s="6">
        <f>ROUNDDOWN(D69*VLOOKUP(D69,$S$38:$T$44,2)-VLOOKUP(D69,$S$48:$T$54,2),-2)</f>
        <v>0</v>
      </c>
      <c r="E71" s="218">
        <f>ROUNDDOWN(E69*VLOOKUP(E69,$S$38:$T$45,2)-VLOOKUP(E69,$S$48:$T$55,2),0)</f>
        <v>0</v>
      </c>
      <c r="F71" s="256">
        <f>ROUNDDOWN(F69*VLOOKUP(F69,$S$38:$T$45,2)-VLOOKUP(F69,$S$48:$T$55,2),0)</f>
        <v>0</v>
      </c>
      <c r="G71" s="256">
        <f>ROUNDDOWN(G69*VLOOKUP(G69,$S$38:$T$45,2)-VLOOKUP(G69,$S$48:$T$55,2),0)</f>
        <v>0</v>
      </c>
      <c r="H71" s="256">
        <f t="shared" ref="H71:J71" si="64">ROUNDDOWN(H69*VLOOKUP(H69,$S$38:$T$45,2)-VLOOKUP(H69,$S$48:$T$55,2),0)</f>
        <v>0</v>
      </c>
      <c r="I71" s="256">
        <f t="shared" si="64"/>
        <v>0</v>
      </c>
      <c r="J71" s="256">
        <f t="shared" si="64"/>
        <v>0</v>
      </c>
      <c r="K71" s="253">
        <f>ROUNDDOWN(K69*VLOOKUP(K69,$S$38:$T$45,2)-VLOOKUP(K69,$S$48:$T$55,2),0)</f>
        <v>0</v>
      </c>
      <c r="L71" s="223">
        <f>ROUNDDOWN(L69*VLOOKUP(L69,$S$38:$T$44,2)-VLOOKUP(L69,$S$48:$T$54,2),-2)</f>
        <v>118043900</v>
      </c>
    </row>
    <row r="72" spans="1:20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72"/>
      <c r="L72" s="223"/>
    </row>
    <row r="73" spans="1:20" ht="15" customHeight="1">
      <c r="A73" s="282" t="s">
        <v>38</v>
      </c>
      <c r="B73" s="50">
        <f>B71-B72</f>
        <v>384400</v>
      </c>
      <c r="C73" s="51">
        <f>C71-C72</f>
        <v>384400</v>
      </c>
      <c r="D73" s="6">
        <f>D71-D72</f>
        <v>0</v>
      </c>
      <c r="E73" s="52">
        <f>E71-E72</f>
        <v>0</v>
      </c>
      <c r="F73" s="6">
        <f t="shared" ref="F73:L73" si="65">F71-F72</f>
        <v>0</v>
      </c>
      <c r="G73" s="6">
        <f t="shared" si="65"/>
        <v>0</v>
      </c>
      <c r="H73" s="6">
        <f t="shared" si="65"/>
        <v>0</v>
      </c>
      <c r="I73" s="6">
        <f t="shared" si="65"/>
        <v>0</v>
      </c>
      <c r="J73" s="6">
        <f t="shared" si="65"/>
        <v>0</v>
      </c>
      <c r="K73" s="72">
        <f t="shared" si="65"/>
        <v>0</v>
      </c>
      <c r="L73" s="223">
        <f t="shared" si="65"/>
        <v>118043900</v>
      </c>
    </row>
    <row r="74" spans="1:20" ht="24" customHeight="1">
      <c r="A74" s="285" t="s">
        <v>91</v>
      </c>
      <c r="B74" s="150"/>
      <c r="C74" s="150"/>
      <c r="D74" s="139"/>
      <c r="E74" s="218">
        <f>ROUNDDOWN(E70*VLOOKUP(E70,$S$38:$T$45,2)-VLOOKUP(E70,$S$48:$T$55,2),0)</f>
        <v>0</v>
      </c>
      <c r="F74" s="256">
        <f>ROUNDDOWN(F70*VLOOKUP(F70,$S$38:$T$45,2)-VLOOKUP(F70,$S$48:$T$55,2),0)</f>
        <v>0</v>
      </c>
      <c r="G74" s="256">
        <f t="shared" ref="G74:J74" si="66">ROUNDDOWN(G70*VLOOKUP(G70,$S$38:$T$45,2)-VLOOKUP(G70,$S$48:$T$55,2),0)</f>
        <v>0</v>
      </c>
      <c r="H74" s="256">
        <f t="shared" si="66"/>
        <v>0</v>
      </c>
      <c r="I74" s="256">
        <f t="shared" si="66"/>
        <v>0</v>
      </c>
      <c r="J74" s="256">
        <f t="shared" si="66"/>
        <v>0</v>
      </c>
      <c r="K74" s="253">
        <f>ROUNDDOWN(K70*VLOOKUP(K70,$S$38:$T$45,2)-VLOOKUP(K70,$S$48:$T$55,2),0)</f>
        <v>13375</v>
      </c>
      <c r="L74" s="248"/>
    </row>
    <row r="75" spans="1:20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269"/>
      <c r="L75" s="223"/>
    </row>
    <row r="76" spans="1:20" ht="24" customHeight="1" thickBot="1">
      <c r="A76" s="153" t="s">
        <v>83</v>
      </c>
      <c r="B76" s="154">
        <f>B73+B74</f>
        <v>384400</v>
      </c>
      <c r="C76" s="154">
        <f>C73+C74</f>
        <v>384400</v>
      </c>
      <c r="D76" s="155">
        <f>D73</f>
        <v>0</v>
      </c>
      <c r="E76" s="156">
        <f>E73</f>
        <v>0</v>
      </c>
      <c r="F76" s="155">
        <f t="shared" ref="F76:L77" si="67">F73</f>
        <v>0</v>
      </c>
      <c r="G76" s="155">
        <f t="shared" si="67"/>
        <v>0</v>
      </c>
      <c r="H76" s="155">
        <f t="shared" si="67"/>
        <v>0</v>
      </c>
      <c r="I76" s="155">
        <f t="shared" si="67"/>
        <v>0</v>
      </c>
      <c r="J76" s="155">
        <f t="shared" si="67"/>
        <v>0</v>
      </c>
      <c r="K76" s="157">
        <f t="shared" si="67"/>
        <v>0</v>
      </c>
      <c r="L76" s="249">
        <f t="shared" si="67"/>
        <v>118043900</v>
      </c>
    </row>
    <row r="77" spans="1:20" ht="24" customHeight="1">
      <c r="A77" s="158" t="s">
        <v>90</v>
      </c>
      <c r="B77" s="150"/>
      <c r="C77" s="139"/>
      <c r="D77" s="139"/>
      <c r="E77" s="151">
        <f>E74</f>
        <v>0</v>
      </c>
      <c r="F77" s="139">
        <f t="shared" si="67"/>
        <v>0</v>
      </c>
      <c r="G77" s="139">
        <f t="shared" si="67"/>
        <v>0</v>
      </c>
      <c r="H77" s="139">
        <f t="shared" si="67"/>
        <v>0</v>
      </c>
      <c r="I77" s="139">
        <f t="shared" si="67"/>
        <v>0</v>
      </c>
      <c r="J77" s="139">
        <f t="shared" si="67"/>
        <v>0</v>
      </c>
      <c r="K77" s="152">
        <f t="shared" si="67"/>
        <v>13375</v>
      </c>
      <c r="L77" s="248"/>
      <c r="M77" s="6"/>
    </row>
    <row r="78" spans="1:20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72"/>
      <c r="L78" s="223"/>
      <c r="M78" s="6"/>
      <c r="O78" s="6"/>
      <c r="P78" s="6"/>
    </row>
    <row r="79" spans="1:20" ht="18" customHeight="1">
      <c r="A79" s="160" t="s">
        <v>41</v>
      </c>
      <c r="B79" s="161">
        <f>B76+B38</f>
        <v>788900</v>
      </c>
      <c r="C79" s="162">
        <f>C76+C55-C50-C51</f>
        <v>380400</v>
      </c>
      <c r="D79" s="163">
        <f t="shared" ref="D79:L79" si="68">D76+D38</f>
        <v>0</v>
      </c>
      <c r="E79" s="164">
        <f t="shared" si="68"/>
        <v>0</v>
      </c>
      <c r="F79" s="163">
        <f t="shared" si="68"/>
        <v>0</v>
      </c>
      <c r="G79" s="163">
        <f t="shared" si="68"/>
        <v>0</v>
      </c>
      <c r="H79" s="163">
        <f t="shared" si="68"/>
        <v>0</v>
      </c>
      <c r="I79" s="163">
        <f t="shared" si="68"/>
        <v>0</v>
      </c>
      <c r="J79" s="163">
        <f t="shared" si="68"/>
        <v>0</v>
      </c>
      <c r="K79" s="165">
        <f t="shared" si="68"/>
        <v>0</v>
      </c>
      <c r="L79" s="250">
        <f t="shared" si="68"/>
        <v>146224400</v>
      </c>
      <c r="M79" s="6"/>
      <c r="N79" s="6"/>
      <c r="O79" s="6"/>
      <c r="P79" s="6"/>
    </row>
    <row r="80" spans="1:20" ht="19.5" customHeight="1" thickBot="1">
      <c r="A80" s="166" t="s">
        <v>42</v>
      </c>
      <c r="B80" s="116">
        <f>B76+B54</f>
        <v>792900</v>
      </c>
      <c r="C80" s="167">
        <f>C76+C55</f>
        <v>384400</v>
      </c>
      <c r="D80" s="168">
        <f t="shared" ref="D80:L80" si="69">D76+D54</f>
        <v>4000</v>
      </c>
      <c r="E80" s="169">
        <f t="shared" si="69"/>
        <v>5000</v>
      </c>
      <c r="F80" s="168">
        <f t="shared" si="69"/>
        <v>5000</v>
      </c>
      <c r="G80" s="168">
        <f t="shared" si="69"/>
        <v>5000</v>
      </c>
      <c r="H80" s="168">
        <f t="shared" si="69"/>
        <v>5000</v>
      </c>
      <c r="I80" s="168">
        <f t="shared" si="69"/>
        <v>5000</v>
      </c>
      <c r="J80" s="168">
        <f t="shared" si="69"/>
        <v>5000</v>
      </c>
      <c r="K80" s="170">
        <f t="shared" si="69"/>
        <v>5000</v>
      </c>
      <c r="L80" s="251">
        <f t="shared" si="69"/>
        <v>146228500</v>
      </c>
      <c r="M80" s="6"/>
      <c r="N80" s="6"/>
      <c r="O80" s="6"/>
      <c r="P80" s="6"/>
    </row>
    <row r="81" spans="1:16" ht="19.5" customHeight="1">
      <c r="B81" s="140"/>
      <c r="C81" s="140"/>
      <c r="E81" s="52"/>
      <c r="F81" s="6"/>
      <c r="G81" s="6"/>
      <c r="H81" s="6"/>
      <c r="I81" s="6"/>
      <c r="J81" s="6"/>
      <c r="K81" s="72"/>
      <c r="L81" s="246"/>
      <c r="M81" s="6"/>
      <c r="N81" s="6"/>
      <c r="O81" s="6"/>
      <c r="P81" s="6"/>
    </row>
    <row r="82" spans="1:16" ht="19.5" customHeight="1">
      <c r="A82" s="171" t="s">
        <v>51</v>
      </c>
      <c r="B82" s="140">
        <f t="shared" ref="B82:L82" si="70">B9-B80</f>
        <v>6207100</v>
      </c>
      <c r="C82" s="140">
        <f t="shared" si="70"/>
        <v>6615600</v>
      </c>
      <c r="D82" s="1">
        <f t="shared" si="70"/>
        <v>-4000</v>
      </c>
      <c r="E82" s="52">
        <f t="shared" si="70"/>
        <v>-5000</v>
      </c>
      <c r="F82" s="6">
        <f t="shared" si="70"/>
        <v>-5000</v>
      </c>
      <c r="G82" s="6">
        <f t="shared" si="70"/>
        <v>-5000</v>
      </c>
      <c r="H82" s="6">
        <f t="shared" si="70"/>
        <v>-5000</v>
      </c>
      <c r="I82" s="6">
        <f t="shared" si="70"/>
        <v>-5000</v>
      </c>
      <c r="J82" s="6">
        <f t="shared" si="70"/>
        <v>-5000</v>
      </c>
      <c r="K82" s="72">
        <f t="shared" si="70"/>
        <v>-5000</v>
      </c>
      <c r="L82" s="246">
        <f t="shared" si="70"/>
        <v>153771500</v>
      </c>
      <c r="M82" s="6"/>
      <c r="N82" s="6"/>
      <c r="O82" s="6"/>
      <c r="P82" s="6"/>
    </row>
    <row r="83" spans="1:16" ht="19.5" customHeight="1">
      <c r="A83" s="171" t="s">
        <v>52</v>
      </c>
      <c r="B83" s="140">
        <f t="shared" ref="B83:L83" si="71">B82-B17</f>
        <v>5507100</v>
      </c>
      <c r="C83" s="140">
        <f t="shared" si="71"/>
        <v>5915600</v>
      </c>
      <c r="D83" s="1">
        <f t="shared" si="71"/>
        <v>-4000</v>
      </c>
      <c r="E83" s="52">
        <f t="shared" si="71"/>
        <v>-5000</v>
      </c>
      <c r="F83" s="6">
        <f t="shared" si="71"/>
        <v>-5000</v>
      </c>
      <c r="G83" s="6">
        <f t="shared" si="71"/>
        <v>-5000</v>
      </c>
      <c r="H83" s="6">
        <f t="shared" si="71"/>
        <v>-5000</v>
      </c>
      <c r="I83" s="6">
        <f t="shared" si="71"/>
        <v>-5000</v>
      </c>
      <c r="J83" s="6">
        <f t="shared" si="71"/>
        <v>-5000</v>
      </c>
      <c r="K83" s="72">
        <f t="shared" si="71"/>
        <v>-5000</v>
      </c>
      <c r="L83" s="292">
        <f t="shared" si="71"/>
        <v>152631500</v>
      </c>
      <c r="M83" s="6"/>
      <c r="N83" s="6"/>
      <c r="O83" s="6"/>
      <c r="P83" s="6"/>
    </row>
    <row r="84" spans="1:16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52"/>
      <c r="M84" s="6"/>
      <c r="N84" s="6"/>
      <c r="O84" s="6"/>
      <c r="P84" s="6"/>
    </row>
    <row r="85" spans="1:16" ht="15" customHeight="1">
      <c r="A85" s="6" t="s">
        <v>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52"/>
      <c r="M85" s="6"/>
      <c r="N85" s="6"/>
      <c r="O85" s="6"/>
      <c r="P85" s="6"/>
    </row>
    <row r="86" spans="1:16" ht="15" customHeight="1">
      <c r="A86" s="7" t="s">
        <v>79</v>
      </c>
      <c r="B86" s="7"/>
      <c r="C86" s="7"/>
      <c r="D86" s="7"/>
      <c r="E86" s="7">
        <f t="shared" ref="E86:K86" si="72">E47</f>
        <v>2000</v>
      </c>
      <c r="F86" s="7">
        <f t="shared" si="72"/>
        <v>2000</v>
      </c>
      <c r="G86" s="7">
        <f t="shared" si="72"/>
        <v>2000</v>
      </c>
      <c r="H86" s="7">
        <f t="shared" si="72"/>
        <v>2000</v>
      </c>
      <c r="I86" s="7">
        <f t="shared" si="72"/>
        <v>2000</v>
      </c>
      <c r="J86" s="7">
        <f t="shared" si="72"/>
        <v>2000</v>
      </c>
      <c r="K86" s="7">
        <f t="shared" si="72"/>
        <v>2000</v>
      </c>
      <c r="L86" s="6"/>
      <c r="M86" s="6"/>
      <c r="N86" s="6"/>
      <c r="O86" s="6"/>
      <c r="P86" s="6"/>
    </row>
    <row r="87" spans="1:16" ht="15" customHeight="1">
      <c r="A87" s="7" t="s">
        <v>84</v>
      </c>
      <c r="B87" s="301"/>
      <c r="C87" s="301"/>
      <c r="D87" s="2"/>
      <c r="E87" s="7">
        <v>2000</v>
      </c>
      <c r="F87" s="7">
        <v>2000</v>
      </c>
      <c r="G87" s="7">
        <v>2000</v>
      </c>
      <c r="H87" s="7">
        <v>2000</v>
      </c>
      <c r="I87" s="7">
        <v>2000</v>
      </c>
      <c r="J87" s="7">
        <v>2000</v>
      </c>
      <c r="K87" s="7">
        <v>2000</v>
      </c>
      <c r="L87" s="6"/>
      <c r="M87" s="6"/>
      <c r="N87" s="6"/>
      <c r="O87" s="6"/>
      <c r="P87" s="6"/>
    </row>
    <row r="88" spans="1:16" ht="15" customHeight="1">
      <c r="A88" s="7" t="s">
        <v>86</v>
      </c>
      <c r="B88" s="8"/>
      <c r="C88" s="8"/>
      <c r="D88" s="7"/>
      <c r="E88" s="220">
        <f>(E86-E87)*VLOOKUP(E70,$S$38:$T$45,2)</f>
        <v>0</v>
      </c>
      <c r="F88" s="220">
        <f t="shared" ref="F88:K88" si="73">(F86-F87)*VLOOKUP(F70,$S$38:$T$45,2)</f>
        <v>0</v>
      </c>
      <c r="G88" s="220">
        <f t="shared" si="73"/>
        <v>0</v>
      </c>
      <c r="H88" s="220">
        <f t="shared" si="73"/>
        <v>0</v>
      </c>
      <c r="I88" s="220">
        <f t="shared" si="73"/>
        <v>0</v>
      </c>
      <c r="J88" s="220">
        <f t="shared" si="73"/>
        <v>0</v>
      </c>
      <c r="K88" s="220">
        <f t="shared" si="73"/>
        <v>0</v>
      </c>
      <c r="L88" s="6"/>
      <c r="N88" s="6"/>
      <c r="O88" s="6"/>
      <c r="P88" s="6"/>
    </row>
    <row r="89" spans="1:16" ht="15" customHeight="1">
      <c r="A89" s="7" t="s">
        <v>85</v>
      </c>
      <c r="B89" s="301"/>
      <c r="C89" s="8"/>
      <c r="D89" s="7"/>
      <c r="E89" s="7">
        <f>(E86-E87)*0.1</f>
        <v>0</v>
      </c>
      <c r="F89" s="7">
        <f t="shared" ref="F89:K89" si="74">(F86-F87)*0.1</f>
        <v>0</v>
      </c>
      <c r="G89" s="7">
        <f t="shared" si="74"/>
        <v>0</v>
      </c>
      <c r="H89" s="7">
        <f t="shared" si="74"/>
        <v>0</v>
      </c>
      <c r="I89" s="7">
        <f t="shared" si="74"/>
        <v>0</v>
      </c>
      <c r="J89" s="7">
        <f t="shared" si="74"/>
        <v>0</v>
      </c>
      <c r="K89" s="7">
        <f t="shared" si="74"/>
        <v>0</v>
      </c>
      <c r="L89" s="6"/>
      <c r="N89" s="6"/>
    </row>
    <row r="90" spans="1:16" ht="15" customHeight="1">
      <c r="A90" s="7" t="s">
        <v>87</v>
      </c>
      <c r="B90" s="301"/>
      <c r="C90" s="8"/>
      <c r="D90" s="7"/>
      <c r="E90" s="7">
        <f>(E86-E87)*E46</f>
        <v>0</v>
      </c>
      <c r="F90" s="7">
        <f t="shared" ref="F90:K90" si="75">(F47-F87)*F46</f>
        <v>0</v>
      </c>
      <c r="G90" s="7">
        <f t="shared" si="75"/>
        <v>0</v>
      </c>
      <c r="H90" s="7">
        <f t="shared" si="75"/>
        <v>0</v>
      </c>
      <c r="I90" s="7">
        <f t="shared" si="75"/>
        <v>0</v>
      </c>
      <c r="J90" s="7">
        <f t="shared" si="75"/>
        <v>0</v>
      </c>
      <c r="K90" s="7">
        <f t="shared" si="75"/>
        <v>0</v>
      </c>
      <c r="L90" s="6"/>
    </row>
    <row r="91" spans="1:16" ht="15" customHeight="1">
      <c r="A91" s="7" t="s">
        <v>92</v>
      </c>
      <c r="B91" s="311"/>
      <c r="C91" s="311"/>
      <c r="D91" s="7"/>
      <c r="E91" s="7">
        <f>SUM(E87:E90)</f>
        <v>2000</v>
      </c>
      <c r="F91" s="7">
        <f t="shared" ref="F91:K91" si="76">SUM(F87:F90)</f>
        <v>2000</v>
      </c>
      <c r="G91" s="7">
        <f t="shared" si="76"/>
        <v>2000</v>
      </c>
      <c r="H91" s="7">
        <f t="shared" si="76"/>
        <v>2000</v>
      </c>
      <c r="I91" s="7">
        <f t="shared" si="76"/>
        <v>2000</v>
      </c>
      <c r="J91" s="7">
        <f t="shared" si="76"/>
        <v>2000</v>
      </c>
      <c r="K91" s="7">
        <f t="shared" si="76"/>
        <v>2000</v>
      </c>
      <c r="L91" s="6"/>
    </row>
    <row r="92" spans="1:16" ht="15" customHeight="1">
      <c r="A92" s="6"/>
      <c r="B92" s="6"/>
      <c r="C92" s="6"/>
      <c r="D92" s="6"/>
      <c r="E92" s="88" t="str">
        <f t="shared" ref="E92:K92" si="77">IF(E91=E47,"ok","  ")</f>
        <v>ok</v>
      </c>
      <c r="F92" s="88" t="str">
        <f t="shared" si="77"/>
        <v>ok</v>
      </c>
      <c r="G92" s="88" t="str">
        <f t="shared" si="77"/>
        <v>ok</v>
      </c>
      <c r="H92" s="88" t="str">
        <f t="shared" si="77"/>
        <v>ok</v>
      </c>
      <c r="I92" s="88" t="str">
        <f t="shared" si="77"/>
        <v>ok</v>
      </c>
      <c r="J92" s="88" t="str">
        <f t="shared" si="77"/>
        <v>ok</v>
      </c>
      <c r="K92" s="88" t="str">
        <f t="shared" si="77"/>
        <v>ok</v>
      </c>
      <c r="L92" s="6"/>
    </row>
    <row r="93" spans="1:1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</sheetData>
  <mergeCells count="21">
    <mergeCell ref="B91:C91"/>
    <mergeCell ref="O36:P36"/>
    <mergeCell ref="Q36:R36"/>
    <mergeCell ref="Q56:R56"/>
    <mergeCell ref="S56:T56"/>
    <mergeCell ref="B87:C87"/>
    <mergeCell ref="K4:L4"/>
    <mergeCell ref="V4:V5"/>
    <mergeCell ref="B89:B90"/>
    <mergeCell ref="W4:W5"/>
    <mergeCell ref="K5:L5"/>
    <mergeCell ref="K6:L6"/>
    <mergeCell ref="V6:V7"/>
    <mergeCell ref="W6:W7"/>
    <mergeCell ref="K7:L7"/>
    <mergeCell ref="A1:J2"/>
    <mergeCell ref="K2:L2"/>
    <mergeCell ref="V2:W3"/>
    <mergeCell ref="AB2:AC2"/>
    <mergeCell ref="AD2:AE2"/>
    <mergeCell ref="K3:L3"/>
  </mergeCells>
  <phoneticPr fontId="1"/>
  <pageMargins left="0.59055118110236227" right="0.59055118110236227" top="0.39370078740157483" bottom="0.39370078740157483" header="0.31496062992125984" footer="0.27559055118110237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D7" sqref="D7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116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117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115</v>
      </c>
    </row>
    <row r="7" spans="1:9" ht="19.899999999999999" customHeight="1">
      <c r="B7" s="318" t="s">
        <v>103</v>
      </c>
      <c r="C7" s="319"/>
      <c r="D7" s="199"/>
      <c r="E7" s="182" t="s">
        <v>104</v>
      </c>
    </row>
    <row r="8" spans="1:9" ht="17.45" customHeight="1">
      <c r="B8" s="191" t="s">
        <v>113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105</v>
      </c>
    </row>
    <row r="11" spans="1:9" ht="19.899999999999999" customHeight="1">
      <c r="B11" s="328" t="s">
        <v>119</v>
      </c>
      <c r="C11" s="329"/>
      <c r="D11" s="329"/>
      <c r="E11" s="330"/>
    </row>
    <row r="12" spans="1:9" ht="19.899999999999999" customHeight="1">
      <c r="B12" s="326"/>
      <c r="C12" s="197" t="s">
        <v>120</v>
      </c>
      <c r="D12" s="200"/>
      <c r="E12" s="196" t="s">
        <v>4</v>
      </c>
    </row>
    <row r="13" spans="1:9" ht="19.899999999999999" customHeight="1">
      <c r="B13" s="327"/>
      <c r="C13" s="198" t="s">
        <v>121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108</v>
      </c>
      <c r="D15" s="199"/>
      <c r="E15" s="182" t="s">
        <v>4</v>
      </c>
    </row>
    <row r="16" spans="1:9" ht="19.899999999999999" customHeight="1">
      <c r="B16" s="177"/>
      <c r="C16" s="176" t="s">
        <v>109</v>
      </c>
      <c r="D16" s="199"/>
      <c r="E16" s="182" t="s">
        <v>4</v>
      </c>
    </row>
    <row r="17" spans="1:10" ht="19.899999999999999" customHeight="1">
      <c r="B17" s="177"/>
      <c r="C17" s="176" t="s">
        <v>110</v>
      </c>
      <c r="D17" s="199"/>
      <c r="E17" s="182" t="s">
        <v>4</v>
      </c>
    </row>
    <row r="18" spans="1:10" ht="19.899999999999999" customHeight="1">
      <c r="B18" s="178"/>
      <c r="C18" s="176" t="s">
        <v>101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106</v>
      </c>
      <c r="E20" s="180"/>
    </row>
    <row r="21" spans="1:10" ht="23.45" customHeight="1">
      <c r="B21" s="318" t="s">
        <v>102</v>
      </c>
      <c r="C21" s="319"/>
      <c r="D21" s="199"/>
      <c r="E21" s="182" t="s">
        <v>104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107</v>
      </c>
      <c r="C25" s="321"/>
      <c r="D25" s="189">
        <f>計算欄!K44</f>
        <v>0</v>
      </c>
      <c r="E25" s="190" t="s">
        <v>104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111</v>
      </c>
      <c r="D27" s="193">
        <f>D21-D25</f>
        <v>0</v>
      </c>
      <c r="E27" s="194" t="s">
        <v>112</v>
      </c>
      <c r="F27" s="185" t="s">
        <v>114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118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</worksheet>
</file>